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u\Downloads\"/>
    </mc:Choice>
  </mc:AlternateContent>
  <xr:revisionPtr revIDLastSave="0" documentId="13_ncr:1_{D28F5E44-2245-4775-9A66-7DB49051E75E}" xr6:coauthVersionLast="47" xr6:coauthVersionMax="47" xr10:uidLastSave="{00000000-0000-0000-0000-000000000000}"/>
  <bookViews>
    <workbookView xWindow="13704" yWindow="996" windowWidth="26220" windowHeight="15120" activeTab="5" xr2:uid="{0F59A3A3-7107-449A-B290-01F2D3BFCA79}"/>
  </bookViews>
  <sheets>
    <sheet name="Dashboard" sheetId="5" r:id="rId1"/>
    <sheet name="Assumptions" sheetId="1" r:id="rId2"/>
    <sheet name="Income Statement" sheetId="2" r:id="rId3"/>
    <sheet name="Cash Flow" sheetId="3" r:id="rId4"/>
    <sheet name="Balance Sheet" sheetId="4" r:id="rId5"/>
    <sheet name="Forecas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0" i="5" l="1"/>
  <c r="AY27" i="6" a="1"/>
  <c r="AY27" i="6" s="1"/>
  <c r="S27" i="6" a="1"/>
  <c r="S27" i="6" s="1"/>
  <c r="BI26" i="6"/>
  <c r="BH26" i="6"/>
  <c r="BG26" i="6"/>
  <c r="BF26" i="6"/>
  <c r="BE26" i="6"/>
  <c r="BD26" i="6"/>
  <c r="BC26" i="6"/>
  <c r="BB26" i="6"/>
  <c r="BA26" i="6"/>
  <c r="AZ26" i="6"/>
  <c r="AY26" i="6"/>
  <c r="AX26" i="6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BG25" i="6" a="1"/>
  <c r="BG25" i="6" s="1"/>
  <c r="AZ25" i="6" a="1"/>
  <c r="AZ25" i="6" s="1"/>
  <c r="AA25" i="6" a="1"/>
  <c r="AA25" i="6" s="1"/>
  <c r="T25" i="6" a="1"/>
  <c r="T25" i="6" s="1"/>
  <c r="P25" i="6" a="1"/>
  <c r="P25" i="6" s="1"/>
  <c r="K25" i="6" a="1"/>
  <c r="K25" i="6" s="1"/>
  <c r="BI24" i="6"/>
  <c r="BH24" i="6"/>
  <c r="BG24" i="6"/>
  <c r="BF24" i="6"/>
  <c r="BE24" i="6"/>
  <c r="BD24" i="6"/>
  <c r="BC24" i="6"/>
  <c r="BB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BH21" i="6" a="1"/>
  <c r="BH21" i="6" s="1"/>
  <c r="AQ21" i="6" a="1"/>
  <c r="AQ21" i="6" s="1"/>
  <c r="AK21" i="6" a="1"/>
  <c r="AK21" i="6" s="1"/>
  <c r="AJ21" i="6"/>
  <c r="T21" i="6"/>
  <c r="S21" i="6" a="1"/>
  <c r="S21" i="6" s="1"/>
  <c r="K21" i="6" a="1"/>
  <c r="K21" i="6" s="1"/>
  <c r="BI19" i="6"/>
  <c r="BH19" i="6"/>
  <c r="BG19" i="6"/>
  <c r="BF19" i="6"/>
  <c r="BE19" i="6"/>
  <c r="BD19" i="6"/>
  <c r="BC19" i="6"/>
  <c r="BB19" i="6"/>
  <c r="BA19" i="6"/>
  <c r="AZ19" i="6"/>
  <c r="AY19" i="6"/>
  <c r="AX19" i="6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AY15" i="6"/>
  <c r="AA15" i="6"/>
  <c r="S15" i="6"/>
  <c r="BG11" i="6" a="1"/>
  <c r="BG11" i="6" s="1"/>
  <c r="BF11" i="6"/>
  <c r="BF11" i="6" a="1"/>
  <c r="AY11" i="6" a="1"/>
  <c r="AY11" i="6" s="1"/>
  <c r="AP11" i="6" a="1"/>
  <c r="AP11" i="6" s="1"/>
  <c r="AA11" i="6" a="1"/>
  <c r="AA11" i="6" s="1"/>
  <c r="Z11" i="6" a="1"/>
  <c r="Z11" i="6" s="1"/>
  <c r="S11" i="6" a="1"/>
  <c r="S11" i="6" s="1"/>
  <c r="J11" i="6" a="1"/>
  <c r="J11" i="6" s="1"/>
  <c r="BH10" i="6"/>
  <c r="BH27" i="6" s="1" a="1"/>
  <c r="BH27" i="6" s="1"/>
  <c r="BG10" i="6"/>
  <c r="BG27" i="6" s="1" a="1"/>
  <c r="BG27" i="6" s="1"/>
  <c r="BF10" i="6"/>
  <c r="BF27" i="6" s="1" a="1"/>
  <c r="BF27" i="6" s="1"/>
  <c r="BE10" i="6"/>
  <c r="BE27" i="6" s="1" a="1"/>
  <c r="BE27" i="6" s="1"/>
  <c r="AZ10" i="6"/>
  <c r="AZ27" i="6" s="1" a="1"/>
  <c r="AZ27" i="6" s="1"/>
  <c r="AY10" i="6"/>
  <c r="AS10" i="6"/>
  <c r="AS27" i="6" s="1" a="1"/>
  <c r="AS27" i="6" s="1"/>
  <c r="AR10" i="6"/>
  <c r="AR27" i="6" s="1" a="1"/>
  <c r="AR27" i="6" s="1"/>
  <c r="AQ10" i="6"/>
  <c r="AP10" i="6"/>
  <c r="AP27" i="6" s="1" a="1"/>
  <c r="AP27" i="6" s="1"/>
  <c r="AJ10" i="6"/>
  <c r="AJ27" i="6" s="1" a="1"/>
  <c r="AJ27" i="6" s="1"/>
  <c r="AI10" i="6"/>
  <c r="AH10" i="6"/>
  <c r="AH27" i="6" s="1" a="1"/>
  <c r="AH27" i="6" s="1"/>
  <c r="AG10" i="6"/>
  <c r="AB10" i="6"/>
  <c r="AB27" i="6" s="1" a="1"/>
  <c r="AB27" i="6" s="1"/>
  <c r="AA10" i="6"/>
  <c r="AA27" i="6" s="1" a="1"/>
  <c r="AA27" i="6" s="1"/>
  <c r="Z10" i="6"/>
  <c r="Z27" i="6" s="1" a="1"/>
  <c r="Z27" i="6" s="1"/>
  <c r="Y10" i="6"/>
  <c r="Y27" i="6" s="1" a="1"/>
  <c r="Y27" i="6" s="1"/>
  <c r="T10" i="6"/>
  <c r="T27" i="6" s="1" a="1"/>
  <c r="T27" i="6" s="1"/>
  <c r="S10" i="6"/>
  <c r="M10" i="6"/>
  <c r="M27" i="6" s="1" a="1"/>
  <c r="M27" i="6" s="1"/>
  <c r="L10" i="6"/>
  <c r="L27" i="6" s="1" a="1"/>
  <c r="L27" i="6" s="1"/>
  <c r="K10" i="6"/>
  <c r="J10" i="6"/>
  <c r="J27" i="6" s="1" a="1"/>
  <c r="J27" i="6" s="1"/>
  <c r="D10" i="6"/>
  <c r="D27" i="6" s="1" a="1"/>
  <c r="D27" i="6" s="1"/>
  <c r="BI9" i="6"/>
  <c r="BH9" i="6"/>
  <c r="BH25" i="6" s="1" a="1"/>
  <c r="BH25" i="6" s="1"/>
  <c r="BG9" i="6"/>
  <c r="BG21" i="6" s="1" a="1"/>
  <c r="BG21" i="6" s="1"/>
  <c r="BF9" i="6"/>
  <c r="BE9" i="6"/>
  <c r="BD9" i="6"/>
  <c r="BC9" i="6"/>
  <c r="BB9" i="6"/>
  <c r="BA9" i="6"/>
  <c r="BA10" i="6" s="1"/>
  <c r="AZ9" i="6"/>
  <c r="AZ21" i="6" s="1" a="1"/>
  <c r="AZ21" i="6" s="1"/>
  <c r="AY9" i="6"/>
  <c r="AY25" i="6" s="1" a="1"/>
  <c r="AY25" i="6" s="1"/>
  <c r="AX9" i="6"/>
  <c r="AX25" i="6" s="1" a="1"/>
  <c r="AX25" i="6" s="1"/>
  <c r="AW9" i="6"/>
  <c r="AV9" i="6"/>
  <c r="AU9" i="6"/>
  <c r="AT9" i="6"/>
  <c r="AS9" i="6"/>
  <c r="AR9" i="6"/>
  <c r="AQ9" i="6"/>
  <c r="AQ25" i="6" s="1" a="1"/>
  <c r="AQ25" i="6" s="1"/>
  <c r="AP9" i="6"/>
  <c r="AO9" i="6"/>
  <c r="AN9" i="6"/>
  <c r="AM9" i="6"/>
  <c r="AL9" i="6"/>
  <c r="AK9" i="6"/>
  <c r="AJ9" i="6"/>
  <c r="AJ21" i="6" s="1" a="1"/>
  <c r="AI9" i="6"/>
  <c r="AH9" i="6"/>
  <c r="AG9" i="6"/>
  <c r="AF9" i="6"/>
  <c r="AE9" i="6"/>
  <c r="AD9" i="6"/>
  <c r="AC9" i="6"/>
  <c r="AB9" i="6"/>
  <c r="AB25" i="6" s="1" a="1"/>
  <c r="AB25" i="6" s="1"/>
  <c r="AA9" i="6"/>
  <c r="AA21" i="6" s="1" a="1"/>
  <c r="AA21" i="6" s="1"/>
  <c r="Z9" i="6"/>
  <c r="Y9" i="6"/>
  <c r="X9" i="6"/>
  <c r="W9" i="6"/>
  <c r="V9" i="6"/>
  <c r="U9" i="6"/>
  <c r="T9" i="6"/>
  <c r="T21" i="6" s="1" a="1"/>
  <c r="S9" i="6"/>
  <c r="S25" i="6" s="1" a="1"/>
  <c r="S25" i="6" s="1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D21" i="6" s="1" a="1"/>
  <c r="D21" i="6" s="1"/>
  <c r="F8" i="6"/>
  <c r="G8" i="6" s="1"/>
  <c r="H8" i="6" s="1"/>
  <c r="I8" i="6" s="1"/>
  <c r="J8" i="6" s="1"/>
  <c r="K8" i="6" s="1"/>
  <c r="L8" i="6" s="1"/>
  <c r="M8" i="6" s="1"/>
  <c r="N8" i="6" s="1"/>
  <c r="O8" i="6" s="1"/>
  <c r="P8" i="6" s="1"/>
  <c r="Q8" i="6" s="1"/>
  <c r="R8" i="6" s="1"/>
  <c r="S8" i="6" s="1"/>
  <c r="T8" i="6" s="1"/>
  <c r="U8" i="6" s="1"/>
  <c r="V8" i="6" s="1"/>
  <c r="W8" i="6" s="1"/>
  <c r="X8" i="6" s="1"/>
  <c r="Y8" i="6" s="1"/>
  <c r="Z8" i="6" s="1"/>
  <c r="AA8" i="6" s="1"/>
  <c r="AB8" i="6" s="1"/>
  <c r="AC8" i="6" s="1"/>
  <c r="AD8" i="6" s="1"/>
  <c r="AE8" i="6" s="1"/>
  <c r="AF8" i="6" s="1"/>
  <c r="AG8" i="6" s="1"/>
  <c r="AH8" i="6" s="1"/>
  <c r="AI8" i="6" s="1"/>
  <c r="AJ8" i="6" s="1"/>
  <c r="AK8" i="6" s="1"/>
  <c r="AL8" i="6" s="1"/>
  <c r="AM8" i="6" s="1"/>
  <c r="AN8" i="6" s="1"/>
  <c r="AO8" i="6" s="1"/>
  <c r="AP8" i="6" s="1"/>
  <c r="AQ8" i="6" s="1"/>
  <c r="AR8" i="6" s="1"/>
  <c r="AS8" i="6" s="1"/>
  <c r="AT8" i="6" s="1"/>
  <c r="AU8" i="6" s="1"/>
  <c r="AV8" i="6" s="1"/>
  <c r="AW8" i="6" s="1"/>
  <c r="AX8" i="6" s="1"/>
  <c r="AY8" i="6" s="1"/>
  <c r="AZ8" i="6" s="1"/>
  <c r="BA8" i="6" s="1"/>
  <c r="BB8" i="6" s="1"/>
  <c r="BC8" i="6" s="1"/>
  <c r="BD8" i="6" s="1"/>
  <c r="BE8" i="6" s="1"/>
  <c r="BF8" i="6" s="1"/>
  <c r="BG8" i="6" s="1"/>
  <c r="BH8" i="6" s="1"/>
  <c r="BI8" i="6" s="1"/>
  <c r="E8" i="6"/>
  <c r="D8" i="6"/>
  <c r="C29" i="6"/>
  <c r="C26" i="6"/>
  <c r="C25" i="6" a="1"/>
  <c r="C25" i="6" s="1"/>
  <c r="C24" i="6"/>
  <c r="C21" i="6" a="1"/>
  <c r="C21" i="6" s="1"/>
  <c r="C19" i="6"/>
  <c r="C10" i="6"/>
  <c r="C27" i="6" s="1" a="1"/>
  <c r="C27" i="6" s="1"/>
  <c r="C9" i="6"/>
  <c r="C8" i="6"/>
  <c r="B32" i="6"/>
  <c r="B31" i="6"/>
  <c r="B30" i="6"/>
  <c r="B29" i="6"/>
  <c r="B28" i="6"/>
  <c r="B27" i="6" a="1"/>
  <c r="B27" i="6" s="1"/>
  <c r="B26" i="6"/>
  <c r="B25" i="6" a="1"/>
  <c r="B25" i="6" s="1"/>
  <c r="B24" i="6"/>
  <c r="B22" i="6"/>
  <c r="B21" i="6" a="1"/>
  <c r="B21" i="6" s="1"/>
  <c r="B20" i="6"/>
  <c r="B19" i="6"/>
  <c r="B18" i="6"/>
  <c r="B17" i="6"/>
  <c r="B16" i="6"/>
  <c r="B15" i="6"/>
  <c r="B14" i="6"/>
  <c r="B13" i="6"/>
  <c r="B12" i="6"/>
  <c r="B11" i="6" a="1"/>
  <c r="B11" i="6" s="1"/>
  <c r="B10" i="6"/>
  <c r="B9" i="6"/>
  <c r="B8" i="6"/>
  <c r="B51" i="5"/>
  <c r="B50" i="5"/>
  <c r="B49" i="5"/>
  <c r="F46" i="5"/>
  <c r="E46" i="5"/>
  <c r="D46" i="5"/>
  <c r="C46" i="5"/>
  <c r="B46" i="5"/>
  <c r="F45" i="5"/>
  <c r="E45" i="5"/>
  <c r="D45" i="5"/>
  <c r="C45" i="5"/>
  <c r="B45" i="5"/>
  <c r="F42" i="5"/>
  <c r="E42" i="5"/>
  <c r="D42" i="5"/>
  <c r="C42" i="5"/>
  <c r="B42" i="5"/>
  <c r="F41" i="5"/>
  <c r="E41" i="5"/>
  <c r="D41" i="5"/>
  <c r="C41" i="5"/>
  <c r="B41" i="5"/>
  <c r="F10" i="5"/>
  <c r="D10" i="5"/>
  <c r="B10" i="5"/>
  <c r="H6" i="5"/>
  <c r="F6" i="5"/>
  <c r="D6" i="5"/>
  <c r="B6" i="5"/>
  <c r="F18" i="4"/>
  <c r="E18" i="4"/>
  <c r="D18" i="4"/>
  <c r="C18" i="4"/>
  <c r="B18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3" i="4"/>
  <c r="F9" i="3" s="1"/>
  <c r="E13" i="4"/>
  <c r="D13" i="4"/>
  <c r="C13" i="4"/>
  <c r="B13" i="4"/>
  <c r="F12" i="4"/>
  <c r="E12" i="4"/>
  <c r="F8" i="3" s="1"/>
  <c r="D12" i="4"/>
  <c r="C12" i="4"/>
  <c r="C8" i="3" s="1"/>
  <c r="B12" i="4"/>
  <c r="F7" i="4"/>
  <c r="E7" i="4"/>
  <c r="D7" i="4"/>
  <c r="C7" i="4"/>
  <c r="B7" i="4"/>
  <c r="F6" i="4"/>
  <c r="E6" i="4"/>
  <c r="D6" i="4"/>
  <c r="C6" i="4"/>
  <c r="B6" i="4"/>
  <c r="B19" i="3"/>
  <c r="F16" i="3"/>
  <c r="E16" i="3"/>
  <c r="D16" i="3"/>
  <c r="C16" i="3"/>
  <c r="B16" i="3"/>
  <c r="F15" i="3"/>
  <c r="E15" i="3"/>
  <c r="D15" i="3"/>
  <c r="C15" i="3"/>
  <c r="B15" i="3"/>
  <c r="F13" i="3"/>
  <c r="E13" i="3"/>
  <c r="D13" i="3"/>
  <c r="C13" i="3"/>
  <c r="B13" i="3"/>
  <c r="F12" i="3"/>
  <c r="E12" i="3"/>
  <c r="D12" i="3"/>
  <c r="C12" i="3"/>
  <c r="B12" i="3"/>
  <c r="B8" i="3"/>
  <c r="F6" i="3"/>
  <c r="E6" i="3"/>
  <c r="D6" i="3"/>
  <c r="C6" i="3"/>
  <c r="B6" i="3"/>
  <c r="F5" i="3"/>
  <c r="E5" i="3"/>
  <c r="D5" i="3"/>
  <c r="C5" i="3"/>
  <c r="B5" i="3"/>
  <c r="F20" i="2"/>
  <c r="E20" i="2"/>
  <c r="D20" i="2"/>
  <c r="C20" i="2"/>
  <c r="B20" i="2"/>
  <c r="F19" i="2"/>
  <c r="E19" i="2"/>
  <c r="D19" i="2"/>
  <c r="C19" i="2"/>
  <c r="B19" i="2"/>
  <c r="F17" i="2"/>
  <c r="E17" i="2"/>
  <c r="D17" i="2"/>
  <c r="C17" i="2"/>
  <c r="B17" i="2"/>
  <c r="F16" i="2"/>
  <c r="E16" i="2"/>
  <c r="D16" i="2"/>
  <c r="C16" i="2"/>
  <c r="B16" i="2"/>
  <c r="F15" i="2"/>
  <c r="E15" i="2"/>
  <c r="D15" i="2"/>
  <c r="C15" i="2"/>
  <c r="B15" i="2"/>
  <c r="F14" i="2"/>
  <c r="E14" i="2"/>
  <c r="D14" i="2"/>
  <c r="C14" i="2"/>
  <c r="B14" i="2"/>
  <c r="F13" i="2"/>
  <c r="E13" i="2"/>
  <c r="D13" i="2"/>
  <c r="C13" i="2"/>
  <c r="B13" i="2"/>
  <c r="F12" i="2"/>
  <c r="E12" i="2"/>
  <c r="D12" i="2"/>
  <c r="C12" i="2"/>
  <c r="B12" i="2"/>
  <c r="F11" i="2"/>
  <c r="F10" i="2"/>
  <c r="F9" i="2"/>
  <c r="E11" i="2"/>
  <c r="E10" i="2"/>
  <c r="E9" i="2"/>
  <c r="D11" i="2"/>
  <c r="D10" i="2"/>
  <c r="D9" i="2"/>
  <c r="C11" i="2"/>
  <c r="C10" i="2"/>
  <c r="C9" i="2"/>
  <c r="B11" i="2"/>
  <c r="B10" i="2"/>
  <c r="B9" i="2"/>
  <c r="F7" i="2"/>
  <c r="E7" i="2"/>
  <c r="D7" i="2"/>
  <c r="C7" i="2"/>
  <c r="B7" i="2"/>
  <c r="F6" i="2"/>
  <c r="E6" i="2"/>
  <c r="D6" i="2"/>
  <c r="C6" i="2"/>
  <c r="B6" i="2"/>
  <c r="F5" i="2"/>
  <c r="E5" i="2"/>
  <c r="D5" i="2"/>
  <c r="C5" i="2"/>
  <c r="B5" i="2"/>
  <c r="Z16" i="6" l="1"/>
  <c r="Z14" i="6"/>
  <c r="Z17" i="6" s="1"/>
  <c r="Z12" i="6"/>
  <c r="Z13" i="6" s="1"/>
  <c r="Z18" i="6" s="1"/>
  <c r="Z20" i="6" s="1"/>
  <c r="Z22" i="6" s="1"/>
  <c r="Z15" i="6"/>
  <c r="J16" i="6"/>
  <c r="J12" i="6"/>
  <c r="J13" i="6" s="1"/>
  <c r="J15" i="6"/>
  <c r="J14" i="6"/>
  <c r="BA27" i="6" a="1"/>
  <c r="BA27" i="6" s="1"/>
  <c r="BA11" i="6" a="1"/>
  <c r="BA11" i="6" s="1"/>
  <c r="AP16" i="6"/>
  <c r="AP12" i="6"/>
  <c r="AP13" i="6"/>
  <c r="AP15" i="6"/>
  <c r="AP14" i="6"/>
  <c r="U25" i="6" a="1"/>
  <c r="U25" i="6" s="1"/>
  <c r="U21" i="6" a="1"/>
  <c r="U21" i="6" s="1"/>
  <c r="AS21" i="6" a="1"/>
  <c r="AS21" i="6" s="1"/>
  <c r="AS25" i="6" a="1"/>
  <c r="AS25" i="6" s="1"/>
  <c r="AS11" i="6" a="1"/>
  <c r="AS11" i="6" s="1"/>
  <c r="BI25" i="6" a="1"/>
  <c r="BI25" i="6" s="1"/>
  <c r="BI10" i="6"/>
  <c r="BI27" i="6" s="1" a="1"/>
  <c r="BI27" i="6" s="1"/>
  <c r="BI11" i="6" a="1"/>
  <c r="BI11" i="6" s="1"/>
  <c r="BI21" i="6" a="1"/>
  <c r="BI21" i="6" s="1"/>
  <c r="N25" i="6" a="1"/>
  <c r="N25" i="6" s="1"/>
  <c r="N21" i="6" a="1"/>
  <c r="N21" i="6" s="1"/>
  <c r="N10" i="6"/>
  <c r="N27" i="6" s="1" a="1"/>
  <c r="N27" i="6" s="1"/>
  <c r="AD25" i="6" a="1"/>
  <c r="AD25" i="6" s="1"/>
  <c r="AD21" i="6" a="1"/>
  <c r="AD21" i="6" s="1"/>
  <c r="AD10" i="6"/>
  <c r="AD27" i="6" s="1" a="1"/>
  <c r="AD27" i="6" s="1"/>
  <c r="BB21" i="6" a="1"/>
  <c r="BB21" i="6" s="1"/>
  <c r="BB25" i="6" a="1"/>
  <c r="BB25" i="6" s="1"/>
  <c r="BB11" i="6" a="1"/>
  <c r="BB11" i="6" s="1"/>
  <c r="G25" i="6" a="1"/>
  <c r="G25" i="6" s="1"/>
  <c r="G21" i="6" a="1"/>
  <c r="G21" i="6" s="1"/>
  <c r="G10" i="6"/>
  <c r="G27" i="6" s="1" a="1"/>
  <c r="G27" i="6" s="1"/>
  <c r="G11" i="6" a="1"/>
  <c r="G11" i="6" s="1"/>
  <c r="O10" i="6"/>
  <c r="O25" i="6" a="1"/>
  <c r="O25" i="6" s="1"/>
  <c r="O21" i="6" a="1"/>
  <c r="O21" i="6" s="1"/>
  <c r="W25" i="6" a="1"/>
  <c r="W25" i="6" s="1"/>
  <c r="W10" i="6"/>
  <c r="W27" i="6" s="1" a="1"/>
  <c r="W27" i="6" s="1"/>
  <c r="W21" i="6" a="1"/>
  <c r="W21" i="6" s="1"/>
  <c r="AE21" i="6" a="1"/>
  <c r="AE21" i="6" s="1"/>
  <c r="AE10" i="6"/>
  <c r="AE27" i="6" s="1" a="1"/>
  <c r="AE27" i="6" s="1"/>
  <c r="AE25" i="6" a="1"/>
  <c r="AE25" i="6" s="1"/>
  <c r="AM25" i="6" a="1"/>
  <c r="AM25" i="6" s="1"/>
  <c r="AM21" i="6" a="1"/>
  <c r="AM21" i="6" s="1"/>
  <c r="AM10" i="6"/>
  <c r="AM27" i="6" s="1" a="1"/>
  <c r="AM27" i="6" s="1"/>
  <c r="AM11" i="6" a="1"/>
  <c r="AM11" i="6" s="1"/>
  <c r="AU21" i="6" a="1"/>
  <c r="AU21" i="6" s="1"/>
  <c r="AU25" i="6" a="1"/>
  <c r="AU25" i="6" s="1"/>
  <c r="AU10" i="6"/>
  <c r="BC25" i="6" a="1"/>
  <c r="BC25" i="6" s="1"/>
  <c r="BC10" i="6"/>
  <c r="BC27" i="6" s="1" a="1"/>
  <c r="BC27" i="6" s="1"/>
  <c r="BC21" i="6" a="1"/>
  <c r="BC21" i="6" s="1"/>
  <c r="BC11" i="6" a="1"/>
  <c r="BC11" i="6" s="1"/>
  <c r="U10" i="6"/>
  <c r="U27" i="6" s="1" a="1"/>
  <c r="U27" i="6" s="1"/>
  <c r="AI27" i="6" a="1"/>
  <c r="AI27" i="6" s="1"/>
  <c r="AI11" i="6" a="1"/>
  <c r="AI11" i="6" s="1"/>
  <c r="AE11" i="6" a="1"/>
  <c r="AE11" i="6" s="1"/>
  <c r="C11" i="6" a="1"/>
  <c r="C11" i="6" s="1"/>
  <c r="M25" i="6" a="1"/>
  <c r="M25" i="6" s="1"/>
  <c r="M21" i="6" a="1"/>
  <c r="M21" i="6" s="1"/>
  <c r="M11" i="6" a="1"/>
  <c r="M11" i="6" s="1"/>
  <c r="AK25" i="6" a="1"/>
  <c r="AK25" i="6" s="1"/>
  <c r="AK10" i="6"/>
  <c r="AK27" i="6" s="1" a="1"/>
  <c r="AK27" i="6" s="1"/>
  <c r="V21" i="6" a="1"/>
  <c r="V21" i="6" s="1"/>
  <c r="V25" i="6" a="1"/>
  <c r="V25" i="6" s="1"/>
  <c r="AT25" i="6" a="1"/>
  <c r="AT25" i="6" s="1"/>
  <c r="AT21" i="6" a="1"/>
  <c r="AT21" i="6" s="1"/>
  <c r="AT10" i="6"/>
  <c r="AT27" i="6" s="1" a="1"/>
  <c r="AT27" i="6" s="1"/>
  <c r="V10" i="6"/>
  <c r="E25" i="6" a="1"/>
  <c r="E25" i="6" s="1"/>
  <c r="E21" i="6" a="1"/>
  <c r="E21" i="6" s="1"/>
  <c r="E10" i="6"/>
  <c r="E27" i="6" s="1" a="1"/>
  <c r="E27" i="6" s="1"/>
  <c r="AC25" i="6" a="1"/>
  <c r="AC25" i="6" s="1"/>
  <c r="AC10" i="6"/>
  <c r="AC27" i="6" s="1" a="1"/>
  <c r="AC27" i="6" s="1"/>
  <c r="AC21" i="6" a="1"/>
  <c r="AC21" i="6" s="1"/>
  <c r="AC11" i="6" a="1"/>
  <c r="AC11" i="6" s="1"/>
  <c r="BA25" i="6" a="1"/>
  <c r="BA25" i="6" s="1"/>
  <c r="BA21" i="6" a="1"/>
  <c r="BA21" i="6" s="1"/>
  <c r="AG27" i="6" a="1"/>
  <c r="AG27" i="6" s="1"/>
  <c r="AG11" i="6" a="1"/>
  <c r="AG11" i="6" s="1"/>
  <c r="F21" i="6" a="1"/>
  <c r="F21" i="6" s="1"/>
  <c r="F25" i="6" a="1"/>
  <c r="F25" i="6" s="1"/>
  <c r="F10" i="6"/>
  <c r="F27" i="6" s="1" a="1"/>
  <c r="F27" i="6" s="1"/>
  <c r="F11" i="6" a="1"/>
  <c r="F11" i="6" s="1"/>
  <c r="AL25" i="6" a="1"/>
  <c r="AL25" i="6" s="1"/>
  <c r="AL21" i="6" a="1"/>
  <c r="AL21" i="6" s="1"/>
  <c r="AL10" i="6"/>
  <c r="AL27" i="6" s="1" a="1"/>
  <c r="AL27" i="6" s="1"/>
  <c r="AL11" i="6" a="1"/>
  <c r="AL11" i="6" s="1"/>
  <c r="BB10" i="6"/>
  <c r="BB27" i="6" s="1" a="1"/>
  <c r="BB27" i="6" s="1"/>
  <c r="U11" i="6" a="1"/>
  <c r="U11" i="6" s="1"/>
  <c r="BF16" i="6"/>
  <c r="BF13" i="6"/>
  <c r="BF14" i="6"/>
  <c r="BF17" i="6" s="1"/>
  <c r="BF15" i="6"/>
  <c r="BF12" i="6"/>
  <c r="K27" i="6" a="1"/>
  <c r="K27" i="6" s="1"/>
  <c r="K11" i="6" a="1"/>
  <c r="K11" i="6" s="1"/>
  <c r="AQ27" i="6" a="1"/>
  <c r="AQ27" i="6" s="1"/>
  <c r="AQ11" i="6" a="1"/>
  <c r="AQ11" i="6" s="1"/>
  <c r="AK11" i="6" a="1"/>
  <c r="AK11" i="6" s="1"/>
  <c r="P21" i="6" a="1"/>
  <c r="P21" i="6" s="1"/>
  <c r="P10" i="6"/>
  <c r="P27" i="6" s="1" a="1"/>
  <c r="P27" i="6" s="1"/>
  <c r="AN25" i="6" a="1"/>
  <c r="AN25" i="6" s="1"/>
  <c r="AN21" i="6" a="1"/>
  <c r="AN21" i="6" s="1"/>
  <c r="AN10" i="6"/>
  <c r="AN27" i="6" s="1" a="1"/>
  <c r="AN27" i="6" s="1"/>
  <c r="BD21" i="6" a="1"/>
  <c r="BD21" i="6" s="1"/>
  <c r="BD25" i="6" a="1"/>
  <c r="BD25" i="6" s="1"/>
  <c r="BD10" i="6"/>
  <c r="BD27" i="6" s="1" a="1"/>
  <c r="BD27" i="6" s="1"/>
  <c r="AA16" i="6"/>
  <c r="AA14" i="6"/>
  <c r="AA12" i="6"/>
  <c r="AA13" i="6" s="1"/>
  <c r="H21" i="6" a="1"/>
  <c r="H21" i="6" s="1"/>
  <c r="H25" i="6" a="1"/>
  <c r="H25" i="6" s="1"/>
  <c r="H11" i="6" a="1"/>
  <c r="H11" i="6" s="1"/>
  <c r="H10" i="6"/>
  <c r="H27" i="6" s="1" a="1"/>
  <c r="H27" i="6" s="1"/>
  <c r="X21" i="6" a="1"/>
  <c r="X21" i="6" s="1"/>
  <c r="X25" i="6" a="1"/>
  <c r="X25" i="6" s="1"/>
  <c r="X10" i="6"/>
  <c r="X27" i="6" s="1" a="1"/>
  <c r="X27" i="6" s="1"/>
  <c r="AF10" i="6"/>
  <c r="AF27" i="6" s="1" a="1"/>
  <c r="AF27" i="6" s="1"/>
  <c r="AV21" i="6" a="1"/>
  <c r="AV21" i="6" s="1"/>
  <c r="AV10" i="6"/>
  <c r="AV27" i="6" s="1" a="1"/>
  <c r="AV27" i="6" s="1"/>
  <c r="BG16" i="6"/>
  <c r="BG14" i="6"/>
  <c r="BG12" i="6"/>
  <c r="BG13" i="6" s="1"/>
  <c r="I25" i="6" a="1"/>
  <c r="I25" i="6" s="1"/>
  <c r="I21" i="6" a="1"/>
  <c r="I21" i="6" s="1"/>
  <c r="Q25" i="6" a="1"/>
  <c r="Q25" i="6" s="1"/>
  <c r="Q21" i="6" a="1"/>
  <c r="Q21" i="6" s="1"/>
  <c r="Y25" i="6" a="1"/>
  <c r="Y25" i="6" s="1"/>
  <c r="Y21" i="6" a="1"/>
  <c r="Y21" i="6" s="1"/>
  <c r="AG21" i="6" a="1"/>
  <c r="AG21" i="6" s="1"/>
  <c r="AG25" i="6" a="1"/>
  <c r="AG25" i="6" s="1"/>
  <c r="AO25" i="6" a="1"/>
  <c r="AO25" i="6" s="1"/>
  <c r="AO21" i="6" a="1"/>
  <c r="AO21" i="6" s="1"/>
  <c r="AW21" i="6" a="1"/>
  <c r="AW21" i="6" s="1"/>
  <c r="AW25" i="6" a="1"/>
  <c r="AW25" i="6" s="1"/>
  <c r="BE25" i="6" a="1"/>
  <c r="BE25" i="6" s="1"/>
  <c r="BE21" i="6" a="1"/>
  <c r="BE21" i="6" s="1"/>
  <c r="Q10" i="6"/>
  <c r="AW10" i="6"/>
  <c r="BG15" i="6"/>
  <c r="AF25" i="6" a="1"/>
  <c r="AF25" i="6" s="1"/>
  <c r="J25" i="6" a="1"/>
  <c r="J25" i="6" s="1"/>
  <c r="J21" i="6" a="1"/>
  <c r="J21" i="6" s="1"/>
  <c r="R25" i="6" a="1"/>
  <c r="R25" i="6" s="1"/>
  <c r="R21" i="6" a="1"/>
  <c r="R21" i="6" s="1"/>
  <c r="Z25" i="6" a="1"/>
  <c r="Z25" i="6" s="1"/>
  <c r="Z21" i="6" a="1"/>
  <c r="Z21" i="6" s="1"/>
  <c r="AH25" i="6" a="1"/>
  <c r="AH25" i="6" s="1"/>
  <c r="AH21" i="6" a="1"/>
  <c r="AH21" i="6" s="1"/>
  <c r="AP25" i="6" a="1"/>
  <c r="AP25" i="6" s="1"/>
  <c r="AP21" i="6" a="1"/>
  <c r="AP21" i="6" s="1"/>
  <c r="BF25" i="6" a="1"/>
  <c r="BF25" i="6" s="1"/>
  <c r="BF21" i="6" a="1"/>
  <c r="BF21" i="6" s="1"/>
  <c r="R10" i="6"/>
  <c r="R27" i="6" s="1" a="1"/>
  <c r="R27" i="6" s="1"/>
  <c r="AX10" i="6"/>
  <c r="AX27" i="6" s="1" a="1"/>
  <c r="AX27" i="6" s="1"/>
  <c r="R11" i="6" a="1"/>
  <c r="R11" i="6" s="1"/>
  <c r="AH11" i="6" a="1"/>
  <c r="AH11" i="6" s="1"/>
  <c r="AX11" i="6" a="1"/>
  <c r="AX11" i="6" s="1"/>
  <c r="I10" i="6"/>
  <c r="I27" i="6" s="1" a="1"/>
  <c r="I27" i="6" s="1"/>
  <c r="AO10" i="6"/>
  <c r="AO27" i="6" s="1" a="1"/>
  <c r="AO27" i="6" s="1"/>
  <c r="AF21" i="6" a="1"/>
  <c r="AF21" i="6" s="1"/>
  <c r="AX21" i="6" a="1"/>
  <c r="AX21" i="6" s="1"/>
  <c r="I11" i="6" a="1"/>
  <c r="I11" i="6" s="1"/>
  <c r="S16" i="6"/>
  <c r="S14" i="6"/>
  <c r="S17" i="6" s="1"/>
  <c r="S12" i="6"/>
  <c r="S13" i="6" s="1"/>
  <c r="S18" i="6" s="1"/>
  <c r="S20" i="6" s="1"/>
  <c r="S22" i="6" s="1"/>
  <c r="Y11" i="6" a="1"/>
  <c r="Y11" i="6" s="1"/>
  <c r="AO11" i="6" a="1"/>
  <c r="AO11" i="6" s="1"/>
  <c r="AY16" i="6"/>
  <c r="AY14" i="6"/>
  <c r="AY12" i="6"/>
  <c r="AY13" i="6" s="1"/>
  <c r="BE11" i="6" a="1"/>
  <c r="BE11" i="6" s="1"/>
  <c r="AV25" i="6" a="1"/>
  <c r="AV25" i="6" s="1"/>
  <c r="AJ25" i="6" a="1"/>
  <c r="AJ25" i="6" s="1"/>
  <c r="AI25" i="6" a="1"/>
  <c r="AI25" i="6" s="1"/>
  <c r="AI21" i="6" a="1"/>
  <c r="AI21" i="6" s="1"/>
  <c r="AY21" i="6" a="1"/>
  <c r="AY21" i="6" s="1"/>
  <c r="L21" i="6" a="1"/>
  <c r="L21" i="6" s="1"/>
  <c r="L25" i="6" a="1"/>
  <c r="L25" i="6" s="1"/>
  <c r="AR25" i="6" a="1"/>
  <c r="AR25" i="6" s="1"/>
  <c r="AR21" i="6" a="1"/>
  <c r="AR21" i="6" s="1"/>
  <c r="D11" i="6" a="1"/>
  <c r="D11" i="6" s="1"/>
  <c r="L11" i="6" a="1"/>
  <c r="L11" i="6" s="1"/>
  <c r="T11" i="6" a="1"/>
  <c r="T11" i="6" s="1"/>
  <c r="AB11" i="6" a="1"/>
  <c r="AB11" i="6" s="1"/>
  <c r="AJ11" i="6" a="1"/>
  <c r="AJ11" i="6" s="1"/>
  <c r="AR11" i="6" a="1"/>
  <c r="AR11" i="6" s="1"/>
  <c r="AZ11" i="6" a="1"/>
  <c r="AZ11" i="6" s="1"/>
  <c r="BH11" i="6" a="1"/>
  <c r="BH11" i="6" s="1"/>
  <c r="AB21" i="6" a="1"/>
  <c r="AB21" i="6" s="1"/>
  <c r="D25" i="6" a="1"/>
  <c r="D25" i="6" s="1"/>
  <c r="E9" i="3"/>
  <c r="D9" i="3"/>
  <c r="C9" i="3"/>
  <c r="B9" i="3"/>
  <c r="E8" i="3"/>
  <c r="D8" i="3"/>
  <c r="F7" i="3"/>
  <c r="F10" i="3" s="1"/>
  <c r="F18" i="3" s="1"/>
  <c r="E7" i="3"/>
  <c r="D7" i="3"/>
  <c r="C7" i="3"/>
  <c r="B7" i="3"/>
  <c r="Z31" i="6" l="1"/>
  <c r="Z28" i="6"/>
  <c r="S31" i="6"/>
  <c r="S28" i="6"/>
  <c r="H15" i="6"/>
  <c r="H13" i="6"/>
  <c r="H14" i="6"/>
  <c r="H17" i="6" s="1"/>
  <c r="H12" i="6"/>
  <c r="H16" i="6"/>
  <c r="AM15" i="6"/>
  <c r="AM16" i="6"/>
  <c r="AM14" i="6"/>
  <c r="AM17" i="6" s="1"/>
  <c r="AM12" i="6"/>
  <c r="AM13" i="6" s="1"/>
  <c r="AM18" i="6" s="1"/>
  <c r="AM20" i="6" s="1"/>
  <c r="AM22" i="6" s="1"/>
  <c r="AK16" i="6"/>
  <c r="AK14" i="6"/>
  <c r="AK12" i="6"/>
  <c r="AK13" i="6" s="1"/>
  <c r="AK15" i="6"/>
  <c r="F16" i="6"/>
  <c r="F14" i="6"/>
  <c r="F15" i="6"/>
  <c r="F12" i="6"/>
  <c r="F13" i="6" s="1"/>
  <c r="C16" i="6"/>
  <c r="C15" i="6"/>
  <c r="C14" i="6"/>
  <c r="C17" i="6" s="1"/>
  <c r="C12" i="6"/>
  <c r="C13" i="6" s="1"/>
  <c r="C18" i="6" s="1"/>
  <c r="C20" i="6" s="1"/>
  <c r="C22" i="6" s="1"/>
  <c r="AS16" i="6"/>
  <c r="AS13" i="6"/>
  <c r="AS15" i="6"/>
  <c r="AS14" i="6"/>
  <c r="AS12" i="6"/>
  <c r="BE16" i="6"/>
  <c r="BE14" i="6"/>
  <c r="BE15" i="6"/>
  <c r="BE12" i="6"/>
  <c r="BE13" i="6" s="1"/>
  <c r="AQ16" i="6"/>
  <c r="AQ15" i="6"/>
  <c r="AQ14" i="6"/>
  <c r="AQ17" i="6" s="1"/>
  <c r="AQ12" i="6"/>
  <c r="AQ13" i="6"/>
  <c r="AQ18" i="6" s="1"/>
  <c r="AQ20" i="6" s="1"/>
  <c r="AQ22" i="6" s="1"/>
  <c r="AR16" i="6"/>
  <c r="AR15" i="6"/>
  <c r="AR14" i="6"/>
  <c r="AR12" i="6"/>
  <c r="AR13" i="6"/>
  <c r="AN11" i="6" a="1"/>
  <c r="AN11" i="6" s="1"/>
  <c r="U16" i="6"/>
  <c r="U15" i="6"/>
  <c r="U12" i="6"/>
  <c r="U13" i="6"/>
  <c r="U14" i="6"/>
  <c r="AI16" i="6"/>
  <c r="AI14" i="6"/>
  <c r="AI12" i="6"/>
  <c r="AI15" i="6"/>
  <c r="AI13" i="6"/>
  <c r="BA16" i="6"/>
  <c r="BA15" i="6"/>
  <c r="BA12" i="6"/>
  <c r="BA13" i="6" s="1"/>
  <c r="BA18" i="6" s="1"/>
  <c r="BA20" i="6" s="1"/>
  <c r="BA22" i="6" s="1"/>
  <c r="BA14" i="6"/>
  <c r="BA17" i="6" s="1"/>
  <c r="AJ16" i="6"/>
  <c r="AJ14" i="6"/>
  <c r="AJ17" i="6" s="1"/>
  <c r="AJ12" i="6"/>
  <c r="AJ13" i="6" s="1"/>
  <c r="AJ18" i="6" s="1"/>
  <c r="AJ20" i="6" s="1"/>
  <c r="AJ22" i="6" s="1"/>
  <c r="AJ15" i="6"/>
  <c r="AY17" i="6"/>
  <c r="AY18" i="6" s="1"/>
  <c r="AY20" i="6" s="1"/>
  <c r="AY22" i="6" s="1"/>
  <c r="Q27" i="6" a="1"/>
  <c r="Q27" i="6" s="1"/>
  <c r="Q11" i="6" a="1"/>
  <c r="Q11" i="6" s="1"/>
  <c r="BG17" i="6"/>
  <c r="BG18" i="6" s="1"/>
  <c r="BG20" i="6" s="1"/>
  <c r="BG22" i="6" s="1"/>
  <c r="X11" i="6" a="1"/>
  <c r="X11" i="6" s="1"/>
  <c r="AA17" i="6"/>
  <c r="AA18" i="6" s="1"/>
  <c r="AA20" i="6" s="1"/>
  <c r="AA22" i="6" s="1"/>
  <c r="K16" i="6"/>
  <c r="K14" i="6"/>
  <c r="K12" i="6"/>
  <c r="K15" i="6"/>
  <c r="K13" i="6"/>
  <c r="D16" i="6"/>
  <c r="D14" i="6"/>
  <c r="D17" i="6" s="1"/>
  <c r="D12" i="6"/>
  <c r="D13" i="6" s="1"/>
  <c r="D18" i="6" s="1"/>
  <c r="D20" i="6" s="1"/>
  <c r="D22" i="6" s="1"/>
  <c r="D15" i="6"/>
  <c r="AX16" i="6"/>
  <c r="AX15" i="6"/>
  <c r="AX14" i="6"/>
  <c r="AX17" i="6" s="1"/>
  <c r="AX12" i="6"/>
  <c r="AX13" i="6"/>
  <c r="AX18" i="6" s="1"/>
  <c r="AX20" i="6" s="1"/>
  <c r="AX22" i="6" s="1"/>
  <c r="V27" i="6" a="1"/>
  <c r="V27" i="6" s="1"/>
  <c r="BH16" i="6"/>
  <c r="BH14" i="6"/>
  <c r="BH12" i="6"/>
  <c r="BH15" i="6"/>
  <c r="BH13" i="6"/>
  <c r="AH16" i="6"/>
  <c r="AH15" i="6"/>
  <c r="AH14" i="6"/>
  <c r="AH12" i="6"/>
  <c r="AH13" i="6" s="1"/>
  <c r="BF18" i="6"/>
  <c r="BF20" i="6" s="1"/>
  <c r="BF22" i="6" s="1"/>
  <c r="AC16" i="6"/>
  <c r="AC14" i="6"/>
  <c r="AC15" i="6"/>
  <c r="AC12" i="6"/>
  <c r="AC13" i="6"/>
  <c r="V11" i="6" a="1"/>
  <c r="V11" i="6" s="1"/>
  <c r="BC15" i="6"/>
  <c r="BC14" i="6"/>
  <c r="BC16" i="6"/>
  <c r="BC12" i="6"/>
  <c r="BC13" i="6" s="1"/>
  <c r="AZ16" i="6"/>
  <c r="AZ14" i="6"/>
  <c r="AZ12" i="6"/>
  <c r="AZ13" i="6" s="1"/>
  <c r="AZ15" i="6"/>
  <c r="R16" i="6"/>
  <c r="R14" i="6"/>
  <c r="R17" i="6" s="1"/>
  <c r="R12" i="6"/>
  <c r="R13" i="6" s="1"/>
  <c r="R18" i="6" s="1"/>
  <c r="R20" i="6" s="1"/>
  <c r="R22" i="6" s="1"/>
  <c r="R15" i="6"/>
  <c r="N11" i="6" a="1"/>
  <c r="N11" i="6" s="1"/>
  <c r="AW27" i="6" a="1"/>
  <c r="AW27" i="6" s="1"/>
  <c r="AW11" i="6" a="1"/>
  <c r="AW11" i="6" s="1"/>
  <c r="AL15" i="6"/>
  <c r="AL14" i="6"/>
  <c r="AL17" i="6" s="1"/>
  <c r="AL12" i="6"/>
  <c r="AL16" i="6"/>
  <c r="AL13" i="6"/>
  <c r="O27" i="6" a="1"/>
  <c r="O27" i="6" s="1"/>
  <c r="O11" i="6" a="1"/>
  <c r="O11" i="6" s="1"/>
  <c r="E11" i="6" a="1"/>
  <c r="E11" i="6" s="1"/>
  <c r="T16" i="6"/>
  <c r="T14" i="6"/>
  <c r="T17" i="6" s="1"/>
  <c r="T12" i="6"/>
  <c r="T15" i="6"/>
  <c r="T13" i="6"/>
  <c r="AO15" i="6"/>
  <c r="AO12" i="6"/>
  <c r="AO16" i="6"/>
  <c r="AO14" i="6"/>
  <c r="AO17" i="6" s="1"/>
  <c r="AO13" i="6"/>
  <c r="AO18" i="6" s="1"/>
  <c r="AO20" i="6" s="1"/>
  <c r="AO22" i="6" s="1"/>
  <c r="AT11" i="6" a="1"/>
  <c r="AT11" i="6" s="1"/>
  <c r="M16" i="6"/>
  <c r="M13" i="6"/>
  <c r="M12" i="6"/>
  <c r="M15" i="6"/>
  <c r="M14" i="6"/>
  <c r="M17" i="6" s="1"/>
  <c r="G16" i="6"/>
  <c r="G15" i="6"/>
  <c r="G14" i="6"/>
  <c r="G12" i="6"/>
  <c r="G13" i="6" s="1"/>
  <c r="AD11" i="6" a="1"/>
  <c r="AD11" i="6" s="1"/>
  <c r="BI16" i="6"/>
  <c r="BI13" i="6"/>
  <c r="BI15" i="6"/>
  <c r="BI14" i="6"/>
  <c r="BI12" i="6"/>
  <c r="AP17" i="6"/>
  <c r="AP18" i="6" s="1"/>
  <c r="AP20" i="6" s="1"/>
  <c r="AP22" i="6" s="1"/>
  <c r="J17" i="6"/>
  <c r="J18" i="6" s="1"/>
  <c r="J20" i="6" s="1"/>
  <c r="J22" i="6" s="1"/>
  <c r="AF11" i="6" a="1"/>
  <c r="AF11" i="6" s="1"/>
  <c r="AE15" i="6"/>
  <c r="AE13" i="6"/>
  <c r="AE16" i="6"/>
  <c r="AE12" i="6"/>
  <c r="AE14" i="6"/>
  <c r="BB15" i="6"/>
  <c r="BB12" i="6"/>
  <c r="BB16" i="6"/>
  <c r="BB13" i="6"/>
  <c r="BB14" i="6"/>
  <c r="BB17" i="6" s="1"/>
  <c r="I12" i="6"/>
  <c r="I15" i="6"/>
  <c r="I16" i="6"/>
  <c r="I14" i="6"/>
  <c r="I13" i="6"/>
  <c r="AB16" i="6"/>
  <c r="AB14" i="6"/>
  <c r="AB17" i="6" s="1"/>
  <c r="AB12" i="6"/>
  <c r="AB13" i="6" s="1"/>
  <c r="AB18" i="6" s="1"/>
  <c r="AB20" i="6" s="1"/>
  <c r="AB22" i="6" s="1"/>
  <c r="AB15" i="6"/>
  <c r="AG15" i="6"/>
  <c r="AG14" i="6"/>
  <c r="AG16" i="6"/>
  <c r="AG12" i="6"/>
  <c r="AG13" i="6" s="1"/>
  <c r="AU27" i="6" a="1"/>
  <c r="AU27" i="6" s="1"/>
  <c r="AU11" i="6" a="1"/>
  <c r="AU11" i="6" s="1"/>
  <c r="L16" i="6"/>
  <c r="L14" i="6"/>
  <c r="L12" i="6"/>
  <c r="L15" i="6"/>
  <c r="L13" i="6"/>
  <c r="Y16" i="6"/>
  <c r="Y13" i="6"/>
  <c r="Y14" i="6"/>
  <c r="Y12" i="6"/>
  <c r="Y15" i="6"/>
  <c r="AV11" i="6" a="1"/>
  <c r="AV11" i="6" s="1"/>
  <c r="BD11" i="6" a="1"/>
  <c r="BD11" i="6" s="1"/>
  <c r="P11" i="6" a="1"/>
  <c r="P11" i="6" s="1"/>
  <c r="W11" i="6" a="1"/>
  <c r="W11" i="6" s="1"/>
  <c r="C10" i="3"/>
  <c r="C18" i="3" s="1"/>
  <c r="B10" i="3"/>
  <c r="B18" i="3" s="1"/>
  <c r="B20" i="3" s="1"/>
  <c r="C19" i="3" s="1"/>
  <c r="E10" i="3"/>
  <c r="E18" i="3" s="1"/>
  <c r="D10" i="3"/>
  <c r="D18" i="3" s="1"/>
  <c r="AJ28" i="6" l="1"/>
  <c r="AJ31" i="6"/>
  <c r="AA31" i="6"/>
  <c r="AA28" i="6"/>
  <c r="F18" i="6"/>
  <c r="F20" i="6" s="1"/>
  <c r="F22" i="6" s="1"/>
  <c r="BG31" i="6"/>
  <c r="BG28" i="6"/>
  <c r="R28" i="6"/>
  <c r="R31" i="6"/>
  <c r="D28" i="6"/>
  <c r="D31" i="6"/>
  <c r="AB28" i="6"/>
  <c r="AB31" i="6"/>
  <c r="AM28" i="6"/>
  <c r="AM31" i="6"/>
  <c r="BA28" i="6"/>
  <c r="BA31" i="6"/>
  <c r="AG18" i="6"/>
  <c r="AG20" i="6" s="1"/>
  <c r="AG22" i="6" s="1"/>
  <c r="J31" i="6"/>
  <c r="J28" i="6"/>
  <c r="G18" i="6"/>
  <c r="G20" i="6" s="1"/>
  <c r="G22" i="6" s="1"/>
  <c r="AP31" i="6"/>
  <c r="AP28" i="6"/>
  <c r="BC18" i="6"/>
  <c r="BC20" i="6" s="1"/>
  <c r="BC22" i="6" s="1"/>
  <c r="AY31" i="6"/>
  <c r="AY28" i="6"/>
  <c r="C31" i="6"/>
  <c r="C28" i="6"/>
  <c r="C30" i="6" s="1"/>
  <c r="D29" i="6" s="1"/>
  <c r="D30" i="6" s="1"/>
  <c r="E29" i="6" s="1"/>
  <c r="W16" i="6"/>
  <c r="W15" i="6"/>
  <c r="W14" i="6"/>
  <c r="W17" i="6" s="1"/>
  <c r="W12" i="6"/>
  <c r="W13" i="6" s="1"/>
  <c r="W18" i="6" s="1"/>
  <c r="W20" i="6" s="1"/>
  <c r="W22" i="6" s="1"/>
  <c r="BH18" i="6"/>
  <c r="BH20" i="6" s="1"/>
  <c r="BH22" i="6" s="1"/>
  <c r="AF16" i="6"/>
  <c r="AF12" i="6"/>
  <c r="AF13" i="6" s="1"/>
  <c r="AF18" i="6" s="1"/>
  <c r="AF20" i="6" s="1"/>
  <c r="AF22" i="6" s="1"/>
  <c r="AF15" i="6"/>
  <c r="AF14" i="6"/>
  <c r="AF17" i="6" s="1"/>
  <c r="E16" i="6"/>
  <c r="E14" i="6"/>
  <c r="E15" i="6"/>
  <c r="E12" i="6"/>
  <c r="E13" i="6" s="1"/>
  <c r="BC17" i="6"/>
  <c r="AN16" i="6"/>
  <c r="AN14" i="6"/>
  <c r="AN12" i="6"/>
  <c r="AN13" i="6" s="1"/>
  <c r="AN15" i="6"/>
  <c r="F17" i="6"/>
  <c r="AG17" i="6"/>
  <c r="BF31" i="6"/>
  <c r="BF28" i="6"/>
  <c r="K18" i="6"/>
  <c r="K20" i="6" s="1"/>
  <c r="K22" i="6" s="1"/>
  <c r="Q15" i="6"/>
  <c r="Q14" i="6"/>
  <c r="Q16" i="6"/>
  <c r="Q12" i="6"/>
  <c r="Q13" i="6" s="1"/>
  <c r="AI17" i="6"/>
  <c r="AI18" i="6" s="1"/>
  <c r="AI20" i="6" s="1"/>
  <c r="AI22" i="6" s="1"/>
  <c r="AQ31" i="6"/>
  <c r="AQ28" i="6"/>
  <c r="AV16" i="6"/>
  <c r="AV13" i="6"/>
  <c r="AV15" i="6"/>
  <c r="AV14" i="6"/>
  <c r="AV12" i="6"/>
  <c r="I17" i="6"/>
  <c r="G17" i="6"/>
  <c r="BH17" i="6"/>
  <c r="AE18" i="6"/>
  <c r="AE20" i="6" s="1"/>
  <c r="AE22" i="6" s="1"/>
  <c r="BB18" i="6"/>
  <c r="BB20" i="6" s="1"/>
  <c r="BB22" i="6" s="1"/>
  <c r="AC17" i="6"/>
  <c r="X16" i="6"/>
  <c r="X15" i="6"/>
  <c r="X13" i="6"/>
  <c r="X14" i="6"/>
  <c r="X12" i="6"/>
  <c r="H18" i="6"/>
  <c r="H20" i="6" s="1"/>
  <c r="H22" i="6" s="1"/>
  <c r="L18" i="6"/>
  <c r="L20" i="6" s="1"/>
  <c r="L22" i="6" s="1"/>
  <c r="AD15" i="6"/>
  <c r="AD14" i="6"/>
  <c r="AD16" i="6"/>
  <c r="AD12" i="6"/>
  <c r="AD13" i="6" s="1"/>
  <c r="O15" i="6"/>
  <c r="O14" i="6"/>
  <c r="O16" i="6"/>
  <c r="O12" i="6"/>
  <c r="O13" i="6" s="1"/>
  <c r="M18" i="6"/>
  <c r="M20" i="6" s="1"/>
  <c r="M22" i="6" s="1"/>
  <c r="N13" i="6"/>
  <c r="N14" i="6"/>
  <c r="N16" i="6"/>
  <c r="N15" i="6"/>
  <c r="N12" i="6"/>
  <c r="AH17" i="6"/>
  <c r="AH18" i="6" s="1"/>
  <c r="AH20" i="6" s="1"/>
  <c r="AH22" i="6" s="1"/>
  <c r="U17" i="6"/>
  <c r="U18" i="6" s="1"/>
  <c r="U20" i="6" s="1"/>
  <c r="U22" i="6" s="1"/>
  <c r="BI17" i="6"/>
  <c r="AZ17" i="6"/>
  <c r="AZ18" i="6" s="1"/>
  <c r="AZ20" i="6" s="1"/>
  <c r="AZ22" i="6" s="1"/>
  <c r="AC18" i="6"/>
  <c r="AC20" i="6" s="1"/>
  <c r="AC22" i="6" s="1"/>
  <c r="K17" i="6"/>
  <c r="AS17" i="6"/>
  <c r="AS18" i="6" s="1"/>
  <c r="AS20" i="6" s="1"/>
  <c r="AS22" i="6" s="1"/>
  <c r="BI18" i="6"/>
  <c r="BI20" i="6" s="1"/>
  <c r="BI22" i="6" s="1"/>
  <c r="AO31" i="6"/>
  <c r="AO28" i="6"/>
  <c r="AX31" i="6"/>
  <c r="AX28" i="6"/>
  <c r="P16" i="6"/>
  <c r="P15" i="6"/>
  <c r="P14" i="6"/>
  <c r="P17" i="6" s="1"/>
  <c r="P12" i="6"/>
  <c r="P13" i="6" s="1"/>
  <c r="P18" i="6" s="1"/>
  <c r="P20" i="6" s="1"/>
  <c r="P22" i="6" s="1"/>
  <c r="AW15" i="6"/>
  <c r="AW14" i="6"/>
  <c r="AW16" i="6"/>
  <c r="AW12" i="6"/>
  <c r="AW13" i="6"/>
  <c r="BE17" i="6"/>
  <c r="BE18" i="6" s="1"/>
  <c r="BE20" i="6" s="1"/>
  <c r="BE22" i="6" s="1"/>
  <c r="BD16" i="6"/>
  <c r="BD15" i="6"/>
  <c r="BD13" i="6"/>
  <c r="BD14" i="6"/>
  <c r="BD12" i="6"/>
  <c r="I18" i="6"/>
  <c r="I20" i="6" s="1"/>
  <c r="I22" i="6" s="1"/>
  <c r="L17" i="6"/>
  <c r="AE17" i="6"/>
  <c r="T18" i="6"/>
  <c r="T20" i="6" s="1"/>
  <c r="T22" i="6" s="1"/>
  <c r="AL18" i="6"/>
  <c r="AL20" i="6" s="1"/>
  <c r="AL22" i="6" s="1"/>
  <c r="V15" i="6"/>
  <c r="V12" i="6"/>
  <c r="V13" i="6" s="1"/>
  <c r="V16" i="6"/>
  <c r="V14" i="6"/>
  <c r="Y17" i="6"/>
  <c r="Y18" i="6" s="1"/>
  <c r="Y20" i="6" s="1"/>
  <c r="Y22" i="6" s="1"/>
  <c r="AU15" i="6"/>
  <c r="AU16" i="6"/>
  <c r="AU13" i="6"/>
  <c r="AU14" i="6"/>
  <c r="AU12" i="6"/>
  <c r="AT15" i="6"/>
  <c r="AT16" i="6"/>
  <c r="AT14" i="6"/>
  <c r="AT17" i="6" s="1"/>
  <c r="AT12" i="6"/>
  <c r="AT13" i="6" s="1"/>
  <c r="AT18" i="6" s="1"/>
  <c r="AT20" i="6" s="1"/>
  <c r="AT22" i="6" s="1"/>
  <c r="AR17" i="6"/>
  <c r="AR18" i="6" s="1"/>
  <c r="AR20" i="6" s="1"/>
  <c r="AR22" i="6" s="1"/>
  <c r="AK17" i="6"/>
  <c r="AK18" i="6" s="1"/>
  <c r="AK20" i="6" s="1"/>
  <c r="AK22" i="6" s="1"/>
  <c r="C20" i="3"/>
  <c r="D19" i="3" s="1"/>
  <c r="D20" i="3" s="1"/>
  <c r="B8" i="4"/>
  <c r="B9" i="4" s="1"/>
  <c r="AZ28" i="6" l="1"/>
  <c r="AZ31" i="6"/>
  <c r="W28" i="6"/>
  <c r="W31" i="6"/>
  <c r="V18" i="6"/>
  <c r="V20" i="6" s="1"/>
  <c r="V22" i="6" s="1"/>
  <c r="U28" i="6"/>
  <c r="U31" i="6"/>
  <c r="AH28" i="6"/>
  <c r="AH31" i="6"/>
  <c r="P31" i="6"/>
  <c r="P28" i="6"/>
  <c r="AS28" i="6"/>
  <c r="AS31" i="6"/>
  <c r="AT28" i="6"/>
  <c r="AT31" i="6"/>
  <c r="BE31" i="6"/>
  <c r="BE28" i="6"/>
  <c r="AI31" i="6"/>
  <c r="AI28" i="6"/>
  <c r="Q18" i="6"/>
  <c r="Q20" i="6" s="1"/>
  <c r="Q22" i="6" s="1"/>
  <c r="AN18" i="6"/>
  <c r="AN20" i="6" s="1"/>
  <c r="AN22" i="6" s="1"/>
  <c r="AK28" i="6"/>
  <c r="AK31" i="6"/>
  <c r="AR28" i="6"/>
  <c r="AR31" i="6"/>
  <c r="AF31" i="6"/>
  <c r="AF28" i="6"/>
  <c r="Y31" i="6"/>
  <c r="Y28" i="6"/>
  <c r="E18" i="6"/>
  <c r="E20" i="6" s="1"/>
  <c r="E22" i="6" s="1"/>
  <c r="AL28" i="6"/>
  <c r="AL31" i="6"/>
  <c r="N17" i="6"/>
  <c r="N18" i="6" s="1"/>
  <c r="N20" i="6" s="1"/>
  <c r="N22" i="6" s="1"/>
  <c r="AE28" i="6"/>
  <c r="AE31" i="6"/>
  <c r="Q17" i="6"/>
  <c r="E17" i="6"/>
  <c r="T28" i="6"/>
  <c r="T31" i="6"/>
  <c r="F31" i="6"/>
  <c r="F28" i="6"/>
  <c r="BB28" i="6"/>
  <c r="BB31" i="6"/>
  <c r="K31" i="6"/>
  <c r="K28" i="6"/>
  <c r="AG31" i="6"/>
  <c r="AG28" i="6"/>
  <c r="AW18" i="6"/>
  <c r="AW20" i="6" s="1"/>
  <c r="AW22" i="6" s="1"/>
  <c r="H31" i="6"/>
  <c r="H28" i="6"/>
  <c r="BC28" i="6"/>
  <c r="BC31" i="6"/>
  <c r="I31" i="6"/>
  <c r="I28" i="6"/>
  <c r="AC28" i="6"/>
  <c r="AC31" i="6"/>
  <c r="BH28" i="6"/>
  <c r="BH31" i="6"/>
  <c r="BI28" i="6"/>
  <c r="BI31" i="6"/>
  <c r="AN17" i="6"/>
  <c r="M28" i="6"/>
  <c r="M31" i="6"/>
  <c r="L28" i="6"/>
  <c r="L31" i="6"/>
  <c r="V17" i="6"/>
  <c r="O17" i="6"/>
  <c r="O18" i="6" s="1"/>
  <c r="O20" i="6" s="1"/>
  <c r="O22" i="6" s="1"/>
  <c r="X17" i="6"/>
  <c r="X18" i="6" s="1"/>
  <c r="X20" i="6" s="1"/>
  <c r="X22" i="6" s="1"/>
  <c r="G28" i="6"/>
  <c r="G31" i="6"/>
  <c r="AD17" i="6"/>
  <c r="AD18" i="6" s="1"/>
  <c r="AD20" i="6" s="1"/>
  <c r="AD22" i="6" s="1"/>
  <c r="C32" i="6"/>
  <c r="D32" i="6"/>
  <c r="AU17" i="6"/>
  <c r="AU18" i="6" s="1"/>
  <c r="AU20" i="6" s="1"/>
  <c r="AU22" i="6" s="1"/>
  <c r="BD17" i="6"/>
  <c r="BD18" i="6" s="1"/>
  <c r="BD20" i="6" s="1"/>
  <c r="BD22" i="6" s="1"/>
  <c r="AW17" i="6"/>
  <c r="AV17" i="6"/>
  <c r="AV18" i="6" s="1"/>
  <c r="AV20" i="6" s="1"/>
  <c r="AV22" i="6" s="1"/>
  <c r="C8" i="4"/>
  <c r="C9" i="4" s="1"/>
  <c r="E19" i="3"/>
  <c r="E20" i="3" s="1"/>
  <c r="D8" i="4"/>
  <c r="D9" i="4" s="1"/>
  <c r="O28" i="6" l="1"/>
  <c r="O31" i="6"/>
  <c r="AU28" i="6"/>
  <c r="AU31" i="6"/>
  <c r="AV31" i="6"/>
  <c r="AV28" i="6"/>
  <c r="X31" i="6"/>
  <c r="X28" i="6"/>
  <c r="BD31" i="6"/>
  <c r="BD28" i="6"/>
  <c r="AD31" i="6"/>
  <c r="AD28" i="6"/>
  <c r="N31" i="6"/>
  <c r="N28" i="6"/>
  <c r="H32" i="6"/>
  <c r="E28" i="6"/>
  <c r="E30" i="6" s="1"/>
  <c r="F29" i="6" s="1"/>
  <c r="F30" i="6" s="1"/>
  <c r="G29" i="6" s="1"/>
  <c r="G30" i="6" s="1"/>
  <c r="H29" i="6" s="1"/>
  <c r="H30" i="6" s="1"/>
  <c r="I29" i="6" s="1"/>
  <c r="I30" i="6" s="1"/>
  <c r="J29" i="6" s="1"/>
  <c r="J30" i="6" s="1"/>
  <c r="E31" i="6"/>
  <c r="E32" i="6" s="1"/>
  <c r="F32" i="6"/>
  <c r="V31" i="6"/>
  <c r="V28" i="6"/>
  <c r="Q31" i="6"/>
  <c r="Q28" i="6"/>
  <c r="G32" i="6"/>
  <c r="AW31" i="6"/>
  <c r="AW28" i="6"/>
  <c r="AN31" i="6"/>
  <c r="AN28" i="6"/>
  <c r="I32" i="6"/>
  <c r="F19" i="3"/>
  <c r="F20" i="3" s="1"/>
  <c r="F8" i="4" s="1"/>
  <c r="F9" i="4" s="1"/>
  <c r="E8" i="4"/>
  <c r="E9" i="4" s="1"/>
  <c r="K29" i="6" l="1"/>
  <c r="K30" i="6" s="1"/>
  <c r="J32" i="6"/>
  <c r="L29" i="6" l="1"/>
  <c r="L30" i="6" s="1"/>
  <c r="K32" i="6"/>
  <c r="M29" i="6" l="1"/>
  <c r="M30" i="6" s="1"/>
  <c r="L32" i="6"/>
  <c r="N29" i="6" l="1"/>
  <c r="N30" i="6" s="1"/>
  <c r="M32" i="6"/>
  <c r="O29" i="6" l="1"/>
  <c r="O30" i="6" s="1"/>
  <c r="N32" i="6"/>
  <c r="P29" i="6" l="1"/>
  <c r="P30" i="6" s="1"/>
  <c r="O32" i="6"/>
  <c r="Q29" i="6" l="1"/>
  <c r="Q30" i="6" s="1"/>
  <c r="P32" i="6"/>
  <c r="R29" i="6" l="1"/>
  <c r="R30" i="6" s="1"/>
  <c r="Q32" i="6"/>
  <c r="S29" i="6" l="1"/>
  <c r="S30" i="6" s="1"/>
  <c r="R32" i="6"/>
  <c r="T29" i="6" l="1"/>
  <c r="T30" i="6" s="1"/>
  <c r="S32" i="6"/>
  <c r="U29" i="6" l="1"/>
  <c r="U30" i="6" s="1"/>
  <c r="T32" i="6"/>
  <c r="V29" i="6" l="1"/>
  <c r="V30" i="6" s="1"/>
  <c r="U32" i="6"/>
  <c r="W29" i="6" l="1"/>
  <c r="W30" i="6" s="1"/>
  <c r="V32" i="6"/>
  <c r="X29" i="6" l="1"/>
  <c r="X30" i="6" s="1"/>
  <c r="W32" i="6"/>
  <c r="Y29" i="6" l="1"/>
  <c r="Y30" i="6" s="1"/>
  <c r="X32" i="6"/>
  <c r="Z29" i="6" l="1"/>
  <c r="Z30" i="6" s="1"/>
  <c r="Y32" i="6"/>
  <c r="AA29" i="6" l="1"/>
  <c r="AA30" i="6" s="1"/>
  <c r="Z32" i="6"/>
  <c r="AB29" i="6" l="1"/>
  <c r="AB30" i="6" s="1"/>
  <c r="AA32" i="6"/>
  <c r="AC29" i="6" l="1"/>
  <c r="AC30" i="6" s="1"/>
  <c r="AB32" i="6"/>
  <c r="AD29" i="6" l="1"/>
  <c r="AD30" i="6" s="1"/>
  <c r="AC32" i="6"/>
  <c r="AE29" i="6" l="1"/>
  <c r="AE30" i="6" s="1"/>
  <c r="AD32" i="6"/>
  <c r="AF29" i="6" l="1"/>
  <c r="AF30" i="6" s="1"/>
  <c r="AE32" i="6"/>
  <c r="AG29" i="6" l="1"/>
  <c r="AG30" i="6" s="1"/>
  <c r="AF32" i="6"/>
  <c r="AH29" i="6" l="1"/>
  <c r="AH30" i="6" s="1"/>
  <c r="AG32" i="6"/>
  <c r="AI29" i="6" l="1"/>
  <c r="AI30" i="6" s="1"/>
  <c r="AH32" i="6"/>
  <c r="AJ29" i="6" l="1"/>
  <c r="AJ30" i="6" s="1"/>
  <c r="AI32" i="6"/>
  <c r="AK29" i="6" l="1"/>
  <c r="AK30" i="6" s="1"/>
  <c r="AJ32" i="6"/>
  <c r="AL29" i="6" l="1"/>
  <c r="AL30" i="6" s="1"/>
  <c r="AK32" i="6"/>
  <c r="AM29" i="6" l="1"/>
  <c r="AM30" i="6" s="1"/>
  <c r="AL32" i="6"/>
  <c r="AN29" i="6" l="1"/>
  <c r="AN30" i="6" s="1"/>
  <c r="AM32" i="6"/>
  <c r="AO29" i="6" l="1"/>
  <c r="AO30" i="6" s="1"/>
  <c r="AN32" i="6"/>
  <c r="AP29" i="6" l="1"/>
  <c r="AP30" i="6" s="1"/>
  <c r="AO32" i="6"/>
  <c r="AQ29" i="6" l="1"/>
  <c r="AQ30" i="6" s="1"/>
  <c r="AP32" i="6"/>
  <c r="AR29" i="6" l="1"/>
  <c r="AR30" i="6" s="1"/>
  <c r="AQ32" i="6"/>
  <c r="AS29" i="6" l="1"/>
  <c r="AS30" i="6" s="1"/>
  <c r="AR32" i="6"/>
  <c r="AT29" i="6" l="1"/>
  <c r="AT30" i="6" s="1"/>
  <c r="AS32" i="6"/>
  <c r="AU29" i="6" l="1"/>
  <c r="AU30" i="6" s="1"/>
  <c r="AT32" i="6"/>
  <c r="AV29" i="6" l="1"/>
  <c r="AV30" i="6" s="1"/>
  <c r="AU32" i="6"/>
  <c r="AW29" i="6" l="1"/>
  <c r="AW30" i="6" s="1"/>
  <c r="AV32" i="6"/>
  <c r="AX29" i="6" l="1"/>
  <c r="AX30" i="6" s="1"/>
  <c r="AW32" i="6"/>
  <c r="AY29" i="6" l="1"/>
  <c r="AY30" i="6" s="1"/>
  <c r="AX32" i="6"/>
  <c r="AZ29" i="6" l="1"/>
  <c r="AZ30" i="6" s="1"/>
  <c r="AY32" i="6"/>
  <c r="BA29" i="6" l="1"/>
  <c r="BA30" i="6" s="1"/>
  <c r="AZ32" i="6"/>
  <c r="BB29" i="6" l="1"/>
  <c r="BB30" i="6" s="1"/>
  <c r="BA32" i="6"/>
  <c r="BC29" i="6" l="1"/>
  <c r="BC30" i="6" s="1"/>
  <c r="BB32" i="6"/>
  <c r="BD29" i="6" l="1"/>
  <c r="BD30" i="6" s="1"/>
  <c r="BC32" i="6"/>
  <c r="BE29" i="6" l="1"/>
  <c r="BE30" i="6" s="1"/>
  <c r="BD32" i="6"/>
  <c r="BF29" i="6" l="1"/>
  <c r="BF30" i="6" s="1"/>
  <c r="BE32" i="6"/>
  <c r="BG29" i="6" l="1"/>
  <c r="BG30" i="6" s="1"/>
  <c r="BF32" i="6"/>
  <c r="BH29" i="6" l="1"/>
  <c r="BH30" i="6" s="1"/>
  <c r="BG32" i="6"/>
  <c r="BI29" i="6" l="1"/>
  <c r="BI30" i="6" s="1"/>
  <c r="BH32" i="6"/>
  <c r="BI32" i="6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<sst xmlns="http://schemas.openxmlformats.org/spreadsheetml/2006/main" count="173" uniqueCount="112">
  <si>
    <t>3-Statement Startup Model</t>
  </si>
  <si>
    <t>Drive the model from this tab. Blue cells are your assumptions; the statements calculate from them.</t>
  </si>
  <si>
    <t>REVENUE</t>
  </si>
  <si>
    <t>Year 1 revenue</t>
  </si>
  <si>
    <t>Revenue growth - Year 2</t>
  </si>
  <si>
    <t>Revenue growth - Year 3</t>
  </si>
  <si>
    <t>Revenue growth - Year 4</t>
  </si>
  <si>
    <t>Revenue growth - Year 5</t>
  </si>
  <si>
    <t>Gross margin %</t>
  </si>
  <si>
    <t>OPERATING EXPENSES (% of revenue)</t>
  </si>
  <si>
    <t>Sales &amp; marketing %</t>
  </si>
  <si>
    <t>Research &amp; development %</t>
  </si>
  <si>
    <t>General &amp; admin %</t>
  </si>
  <si>
    <t>WORKING CAPITAL &amp; CAPITAL</t>
  </si>
  <si>
    <t>Days sales outstanding (DSO)</t>
  </si>
  <si>
    <t>Days payable outstanding (DPO)</t>
  </si>
  <si>
    <t>Deferred revenue (% of revenue)</t>
  </si>
  <si>
    <t>Annual capex</t>
  </si>
  <si>
    <t>Annual depreciation &amp; amortization</t>
  </si>
  <si>
    <t>Tax rate</t>
  </si>
  <si>
    <t>Starting cash</t>
  </si>
  <si>
    <t>Starting paid-in capital</t>
  </si>
  <si>
    <t>NEW EQUITY RAISED (by year)</t>
  </si>
  <si>
    <t>Year 1</t>
  </si>
  <si>
    <t>Year 2</t>
  </si>
  <si>
    <t>Year 3</t>
  </si>
  <si>
    <t>Year 4</t>
  </si>
  <si>
    <t>Year 5</t>
  </si>
  <si>
    <t>HOW TO USE</t>
  </si>
  <si>
    <t>Blue cells are inputs - change them to fit your business. Black cells are labels or formulas that calculate automatically.</t>
  </si>
  <si>
    <t>For informational purposes only. Not financial, tax, or legal advice. Validate outputs with a qualified professional before relying on them.</t>
  </si>
  <si>
    <t>Finsightic - finance &amp; operations support  |  hello@finsightic.com  |  finsightic.com</t>
  </si>
  <si>
    <t>Income Statement</t>
  </si>
  <si>
    <t>5-year projection. Driven by the Assumptions tab.</t>
  </si>
  <si>
    <t>($)</t>
  </si>
  <si>
    <t>Revenue</t>
  </si>
  <si>
    <t>Cost of revenue</t>
  </si>
  <si>
    <t>Gross profit</t>
  </si>
  <si>
    <t>Sales &amp; marketing</t>
  </si>
  <si>
    <t>Research &amp; development</t>
  </si>
  <si>
    <t>General &amp; admin</t>
  </si>
  <si>
    <t>Total operating expenses</t>
  </si>
  <si>
    <t>EBITDA</t>
  </si>
  <si>
    <t>Depreciation &amp; amortization</t>
  </si>
  <si>
    <t>Operating income (EBIT)</t>
  </si>
  <si>
    <t>Income taxes</t>
  </si>
  <si>
    <t>Net income</t>
  </si>
  <si>
    <t>EBITDA margin %</t>
  </si>
  <si>
    <t>Cash Flow Statement</t>
  </si>
  <si>
    <t>Indirect method. Links to the Income Statement and Balance Sheet.</t>
  </si>
  <si>
    <t>Add: depreciation &amp; amortization</t>
  </si>
  <si>
    <t>(Increase) in accounts receivable</t>
  </si>
  <si>
    <t>Increase in accounts payable</t>
  </si>
  <si>
    <t>Increase in deferred revenue</t>
  </si>
  <si>
    <t>Cash from operations</t>
  </si>
  <si>
    <t>Capital expenditures</t>
  </si>
  <si>
    <t>Cash from investing</t>
  </si>
  <si>
    <t>New equity raised</t>
  </si>
  <si>
    <t>Cash from financing</t>
  </si>
  <si>
    <t>Net change in cash</t>
  </si>
  <si>
    <t>Beginning cash</t>
  </si>
  <si>
    <t>Ending cash</t>
  </si>
  <si>
    <t>Balance Sheet</t>
  </si>
  <si>
    <t>Links to the Income Statement and Cash Flow. The balance check should read 0 every year.</t>
  </si>
  <si>
    <t>ASSETS</t>
  </si>
  <si>
    <t>Accounts receivable</t>
  </si>
  <si>
    <t>Net PP&amp;E</t>
  </si>
  <si>
    <t>Cash</t>
  </si>
  <si>
    <t>Total assets</t>
  </si>
  <si>
    <t>LIABILITIES &amp; EQUITY</t>
  </si>
  <si>
    <t>Accounts payable</t>
  </si>
  <si>
    <t>Deferred revenue</t>
  </si>
  <si>
    <t>Paid-in capital</t>
  </si>
  <si>
    <t>Retained earnings</t>
  </si>
  <si>
    <t>Total liabilities &amp; equity</t>
  </si>
  <si>
    <t>Balance check (should be 0)</t>
  </si>
  <si>
    <t>Monthly Cash Flow Forecast</t>
  </si>
  <si>
    <t>60-month forecast. Every line is spread from the annual statements, so each year's 12 months sum exactly to the annual figures.</t>
  </si>
  <si>
    <t>FORECAST INPUTS</t>
  </si>
  <si>
    <t>Intra-year monthly revenue ramp</t>
  </si>
  <si>
    <t>Forecast start month</t>
  </si>
  <si>
    <t>Equity raises are booked in month 1 of each year; all lines tie to the annual statements.</t>
  </si>
  <si>
    <t>Month</t>
  </si>
  <si>
    <t>Year</t>
  </si>
  <si>
    <t>MoY</t>
  </si>
  <si>
    <t>Total OpEx</t>
  </si>
  <si>
    <t>EBIT</t>
  </si>
  <si>
    <t>Taxes</t>
  </si>
  <si>
    <t>Δ Working capital</t>
  </si>
  <si>
    <t>Capex</t>
  </si>
  <si>
    <t>Equity raised</t>
  </si>
  <si>
    <t>Monthly burn</t>
  </si>
  <si>
    <t>Runway (mos)</t>
  </si>
  <si>
    <t>Company Dashboard</t>
  </si>
  <si>
    <t>Live summary of the 5-year plan and monthly cash forecast. Everything updates from the Assumptions tab.</t>
  </si>
  <si>
    <t>KEY METRICS</t>
  </si>
  <si>
    <t>YEAR 5 REVENUE</t>
  </si>
  <si>
    <t>REVENUE CAGR (Y1–Y5)</t>
  </si>
  <si>
    <t>GROSS MARGIN (Y5)</t>
  </si>
  <si>
    <t>EBITDA MARGIN (Y5)</t>
  </si>
  <si>
    <t>NET INCOME (Y5)</t>
  </si>
  <si>
    <t>ENDING CASH (Y5)</t>
  </si>
  <si>
    <t>TOTAL EQUITY RAISED</t>
  </si>
  <si>
    <t>LOWEST CASH BALANCE</t>
  </si>
  <si>
    <t>CHART DATA (links to statements)</t>
  </si>
  <si>
    <t>%</t>
  </si>
  <si>
    <t>Gross margin</t>
  </si>
  <si>
    <t>EBITDA margin</t>
  </si>
  <si>
    <t>Year 5 OpEx</t>
  </si>
  <si>
    <t>TRENDS</t>
  </si>
  <si>
    <t>CASH FLOW</t>
  </si>
  <si>
    <t>Add: D&amp;A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</si>
</sst>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"/>
    <numFmt numFmtId="165" formatCode="0.0%"/>
    <numFmt numFmtId="166" formatCode="mmm\ yyyy"/>
    <numFmt numFmtId="167" formatCode="&quot;$&quot;#,##0;\(&quot;$&quot;#,##0\)"/>
    <numFmt numFmtId="168" formatCode="0.0"/>
  </numFmts>
  <fonts count="14" x14ac:knownFonts="1">
    <font>
      <sz val="11"/>
      <color theme="1"/>
      <name val="Aptos Narrow"/>
      <family val="2"/>
      <scheme val="minor"/>
    </font>
    <font>
      <b/>
      <sz val="15"/>
      <color rgb="FF0D1829"/>
      <name val="Aptos Narrow"/>
      <family val="2"/>
      <scheme val="minor"/>
    </font>
    <font>
      <i/>
      <sz val="10"/>
      <color rgb="FF7A8BA8"/>
      <name val="Aptos Narrow"/>
      <family val="2"/>
      <scheme val="minor"/>
    </font>
    <font>
      <b/>
      <sz val="11"/>
      <color rgb="FF0D1829"/>
      <name val="Aptos Narrow"/>
      <family val="2"/>
      <scheme val="minor"/>
    </font>
    <font>
      <sz val="10.5"/>
      <color rgb="FF0D1829"/>
      <name val="Aptos Narrow"/>
      <family val="2"/>
      <scheme val="minor"/>
    </font>
    <font>
      <sz val="10.5"/>
      <color rgb="FF1C5FCC"/>
      <name val="Aptos Narrow"/>
      <family val="2"/>
      <scheme val="minor"/>
    </font>
    <font>
      <i/>
      <sz val="9"/>
      <color rgb="FF7A8BA8"/>
      <name val="Aptos Narrow"/>
      <family val="2"/>
      <scheme val="minor"/>
    </font>
    <font>
      <b/>
      <sz val="10.5"/>
      <color rgb="FFFFFFFF"/>
      <name val="Aptos Narrow"/>
      <family val="2"/>
      <scheme val="minor"/>
    </font>
    <font>
      <b/>
      <sz val="10.5"/>
      <color rgb="FF0D1829"/>
      <name val="Aptos Narrow"/>
      <family val="2"/>
      <scheme val="minor"/>
    </font>
    <font>
      <sz val="9"/>
      <color rgb="FF7A8BA8"/>
      <name val="Aptos Narrow"/>
      <family val="2"/>
      <scheme val="minor"/>
    </font>
    <font>
      <b/>
      <sz val="16"/>
      <color rgb="FF0D1829"/>
      <name val="Aptos Narrow"/>
      <family val="2"/>
      <scheme val="minor"/>
    </font>
    <font>
      <b/>
      <sz val="9"/>
      <color rgb="FFFFFFFF"/>
      <name val="Aptos Narrow"/>
      <family val="2"/>
      <scheme val="minor"/>
    </font>
    <font>
      <b/>
      <sz val="18"/>
      <color rgb="FF0D1829"/>
      <name val="Aptos Narrow"/>
      <family val="2"/>
      <scheme val="minor"/>
    </font>
    <font>
      <b/>
      <sz val="10"/>
      <color rgb="FF0D1829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EF3FA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1C5FCC"/>
        <bgColor indexed="64"/>
      </patternFill>
    </fill>
    <fill>
      <patternFill patternType="solid">
        <fgColor rgb="FFE0EAF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C9D9F2"/>
      </bottom>
      <diagonal/>
    </border>
    <border>
      <left style="thin">
        <color rgb="FFC9D9F2"/>
      </left>
      <right/>
      <top/>
      <bottom style="thin">
        <color rgb="FFC9D9F2"/>
      </bottom>
      <diagonal/>
    </border>
    <border>
      <left style="thin">
        <color rgb="FFC9D9F2"/>
      </left>
      <right/>
      <top/>
      <bottom/>
      <diagonal/>
    </border>
    <border>
      <left/>
      <right style="thin">
        <color rgb="FFC9D9F2"/>
      </right>
      <top/>
      <bottom/>
      <diagonal/>
    </border>
    <border>
      <left/>
      <right style="thin">
        <color rgb="FFC9D9F2"/>
      </right>
      <top/>
      <bottom style="thin">
        <color rgb="FFC9D9F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5" fillId="3" borderId="0" xfId="0" applyNumberFormat="1" applyFont="1" applyFill="1"/>
    <xf numFmtId="9" fontId="5" fillId="3" borderId="0" xfId="0" applyNumberFormat="1" applyFont="1" applyFill="1"/>
    <xf numFmtId="3" fontId="5" fillId="3" borderId="0" xfId="0" applyNumberFormat="1" applyFont="1" applyFill="1"/>
    <xf numFmtId="0" fontId="6" fillId="0" borderId="0" xfId="0" applyFont="1"/>
    <xf numFmtId="0" fontId="7" fillId="4" borderId="0" xfId="0" applyFont="1" applyFill="1"/>
    <xf numFmtId="164" fontId="4" fillId="0" borderId="0" xfId="0" applyNumberFormat="1" applyFont="1"/>
    <xf numFmtId="0" fontId="8" fillId="5" borderId="0" xfId="0" applyFont="1" applyFill="1"/>
    <xf numFmtId="164" fontId="8" fillId="5" borderId="0" xfId="0" applyNumberFormat="1" applyFont="1" applyFill="1"/>
    <xf numFmtId="165" fontId="4" fillId="0" borderId="0" xfId="0" applyNumberFormat="1" applyFont="1"/>
    <xf numFmtId="0" fontId="3" fillId="0" borderId="0" xfId="0" applyFont="1"/>
    <xf numFmtId="0" fontId="0" fillId="2" borderId="0" xfId="0" applyFill="1"/>
    <xf numFmtId="165" fontId="5" fillId="3" borderId="0" xfId="0" applyNumberFormat="1" applyFont="1" applyFill="1"/>
    <xf numFmtId="166" fontId="5" fillId="3" borderId="0" xfId="0" applyNumberFormat="1" applyFont="1" applyFill="1"/>
    <xf numFmtId="0" fontId="9" fillId="0" borderId="0" xfId="0" applyFont="1"/>
    <xf numFmtId="167" fontId="4" fillId="0" borderId="0" xfId="0" applyNumberFormat="1" applyFont="1"/>
    <xf numFmtId="167" fontId="8" fillId="5" borderId="0" xfId="0" applyNumberFormat="1" applyFont="1" applyFill="1"/>
    <xf numFmtId="168" fontId="4" fillId="0" borderId="0" xfId="0" applyNumberFormat="1" applyFont="1"/>
    <xf numFmtId="0" fontId="10" fillId="0" borderId="0" xfId="0" applyFont="1"/>
    <xf numFmtId="0" fontId="13" fillId="2" borderId="0" xfId="0" applyFont="1" applyFill="1"/>
    <xf numFmtId="166" fontId="7" fillId="4" borderId="0" xfId="0" applyNumberFormat="1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4" borderId="0" xfId="0" applyFont="1" applyFill="1" applyAlignment="1">
      <alignment horizontal="center" vertical="center"/>
    </xf>
    <xf numFmtId="164" fontId="12" fillId="3" borderId="3" xfId="0" applyNumberFormat="1" applyFont="1" applyFill="1" applyBorder="1" applyAlignment="1">
      <alignment horizontal="center" vertical="center"/>
    </xf>
    <xf numFmtId="164" fontId="12" fillId="3" borderId="0" xfId="0" applyNumberFormat="1" applyFont="1" applyFill="1" applyAlignment="1">
      <alignment horizontal="center" vertical="center"/>
    </xf>
    <xf numFmtId="164" fontId="12" fillId="3" borderId="2" xfId="0" applyNumberFormat="1" applyFont="1" applyFill="1" applyBorder="1" applyAlignment="1">
      <alignment horizontal="center" vertical="center"/>
    </xf>
    <xf numFmtId="164" fontId="12" fillId="3" borderId="1" xfId="0" applyNumberFormat="1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center" vertical="center"/>
    </xf>
    <xf numFmtId="164" fontId="12" fillId="3" borderId="5" xfId="0" applyNumberFormat="1" applyFont="1" applyFill="1" applyBorder="1" applyAlignment="1">
      <alignment horizontal="center" vertical="center"/>
    </xf>
    <xf numFmtId="167" fontId="12" fillId="3" borderId="3" xfId="0" applyNumberFormat="1" applyFont="1" applyFill="1" applyBorder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167" fontId="12" fillId="3" borderId="2" xfId="0" applyNumberFormat="1" applyFont="1" applyFill="1" applyBorder="1" applyAlignment="1">
      <alignment horizontal="center" vertical="center"/>
    </xf>
    <xf numFmtId="167" fontId="12" fillId="3" borderId="1" xfId="0" applyNumberFormat="1" applyFont="1" applyFill="1" applyBorder="1" applyAlignment="1">
      <alignment horizontal="center" vertical="center"/>
    </xf>
    <xf numFmtId="165" fontId="12" fillId="3" borderId="3" xfId="0" applyNumberFormat="1" applyFont="1" applyFill="1" applyBorder="1" applyAlignment="1">
      <alignment horizontal="center" vertical="center"/>
    </xf>
    <xf numFmtId="165" fontId="12" fillId="3" borderId="0" xfId="0" applyNumberFormat="1" applyFont="1" applyFill="1" applyAlignment="1">
      <alignment horizontal="center" vertical="center"/>
    </xf>
    <xf numFmtId="165" fontId="12" fillId="3" borderId="2" xfId="0" applyNumberFormat="1" applyFont="1" applyFill="1" applyBorder="1" applyAlignment="1">
      <alignment horizontal="center" vertical="center"/>
    </xf>
    <xf numFmtId="165" fontId="12" fillId="3" borderId="1" xfId="0" applyNumberFormat="1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center" vertical="center"/>
    </xf>
    <xf numFmtId="165" fontId="12" fillId="3" borderId="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D1829"/>
                </a:solidFill>
                <a:latin typeface="Aptos Narrow"/>
                <a:ea typeface="Aptos Narrow"/>
                <a:cs typeface="Aptos Narrow"/>
              </a:defRPr>
            </a:pPr>
            <a:r>
              <a:rPr lang="en-US"/>
              <a:t>Revenue &amp; Net Income by Year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D1829"/>
              </a:solidFill>
              <a:latin typeface="Aptos Narrow"/>
              <a:ea typeface="Aptos Narrow"/>
              <a:cs typeface="Aptos Narrow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Dashboard!$A$41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rgbClr val="1C5FCC"/>
            </a:solidFill>
            <a:ln>
              <a:noFill/>
            </a:ln>
            <a:effectLst/>
          </c:spPr>
          <c:invertIfNegative val="0"/>
          <c:cat>
            <c:strRef>
              <c:f>Dashboard!$B$40:$F$40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Dashboard!$B$41:$F$41</c:f>
              <c:numCache>
                <c:formatCode>General</c:formatCode>
                <c:ptCount val="5"/>
                <c:pt idx="0">
                  <c:v>1200000</c:v>
                </c:pt>
                <c:pt idx="1">
                  <c:v>2160000</c:v>
                </c:pt>
                <c:pt idx="2">
                  <c:v>3456000</c:v>
                </c:pt>
                <c:pt idx="3">
                  <c:v>5011200</c:v>
                </c:pt>
                <c:pt idx="4">
                  <c:v>6765120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2-4463-91FB-1C7902B31719}"/>
            </c:ext>
          </c:extLst>
        </c:ser>
        <c:ser>
          <c:idx val="1"/>
          <c:order val="1"/>
          <c:tx>
            <c:strRef>
              <c:f>Dashboard!$A$42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rgbClr val="E8A33D"/>
            </a:solidFill>
            <a:ln>
              <a:noFill/>
            </a:ln>
            <a:effectLst/>
          </c:spPr>
          <c:invertIfNegative val="0"/>
          <c:cat>
            <c:strRef>
              <c:f>Dashboard!$B$40:$F$40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Dashboard!$B$42:$F$42</c:f>
              <c:numCache>
                <c:formatCode>General</c:formatCode>
                <c:ptCount val="5"/>
                <c:pt idx="0">
                  <c:v>-136000</c:v>
                </c:pt>
                <c:pt idx="1">
                  <c:v>-212800</c:v>
                </c:pt>
                <c:pt idx="2">
                  <c:v>-316480</c:v>
                </c:pt>
                <c:pt idx="3">
                  <c:v>-440896</c:v>
                </c:pt>
                <c:pt idx="4">
                  <c:v>-581209.59999999963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D2-4463-91FB-1C7902B31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6491679"/>
        <c:axId val="1116490239"/>
      </c:barChart>
      <c:catAx>
        <c:axId val="1116491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90239"/>
        <c:crosses val="autoZero"/>
        <c:auto val="1"/>
        <c:lblAlgn val="ctr"/>
        <c:lblOffset val="100"/>
        <c:noMultiLvlLbl val="0"/>
      </c:catAx>
      <c:valAx>
        <c:axId val="11164902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9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D1829"/>
                </a:solidFill>
                <a:latin typeface="Aptos Narrow"/>
                <a:ea typeface="Aptos Narrow"/>
                <a:cs typeface="Aptos Narrow"/>
              </a:defRPr>
            </a:pPr>
            <a:r>
              <a:rPr lang="en-US"/>
              <a:t>Cash Balance — Monthly (60 mo)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D1829"/>
              </a:solidFill>
              <a:latin typeface="Aptos Narrow"/>
              <a:ea typeface="Aptos Narrow"/>
              <a:cs typeface="Aptos Narrow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Forecast!$V$9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Forecast!$B$8:$BI$8</c:f>
              <c:numCache>
                <c:formatCode>mmm\ yyyy</c:formatCode>
                <c:ptCount val="60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  <c:pt idx="12">
                  <c:v>46023</c:v>
                </c:pt>
                <c:pt idx="13">
                  <c:v>46054</c:v>
                </c:pt>
                <c:pt idx="14">
                  <c:v>46082</c:v>
                </c:pt>
                <c:pt idx="15">
                  <c:v>46113</c:v>
                </c:pt>
                <c:pt idx="16">
                  <c:v>46143</c:v>
                </c:pt>
                <c:pt idx="17">
                  <c:v>46174</c:v>
                </c:pt>
                <c:pt idx="18">
                  <c:v>46204</c:v>
                </c:pt>
                <c:pt idx="19">
                  <c:v>46235</c:v>
                </c:pt>
                <c:pt idx="20">
                  <c:v>46266</c:v>
                </c:pt>
                <c:pt idx="21">
                  <c:v>46296</c:v>
                </c:pt>
                <c:pt idx="22">
                  <c:v>46327</c:v>
                </c:pt>
                <c:pt idx="23">
                  <c:v>46357</c:v>
                </c:pt>
                <c:pt idx="24">
                  <c:v>46388</c:v>
                </c:pt>
                <c:pt idx="25">
                  <c:v>46419</c:v>
                </c:pt>
                <c:pt idx="26">
                  <c:v>46447</c:v>
                </c:pt>
                <c:pt idx="27">
                  <c:v>46478</c:v>
                </c:pt>
                <c:pt idx="28">
                  <c:v>46508</c:v>
                </c:pt>
                <c:pt idx="29">
                  <c:v>46539</c:v>
                </c:pt>
                <c:pt idx="30">
                  <c:v>46569</c:v>
                </c:pt>
                <c:pt idx="31">
                  <c:v>46600</c:v>
                </c:pt>
                <c:pt idx="32">
                  <c:v>46631</c:v>
                </c:pt>
                <c:pt idx="33">
                  <c:v>46661</c:v>
                </c:pt>
                <c:pt idx="34">
                  <c:v>46692</c:v>
                </c:pt>
                <c:pt idx="35">
                  <c:v>46722</c:v>
                </c:pt>
                <c:pt idx="36">
                  <c:v>46753</c:v>
                </c:pt>
                <c:pt idx="37">
                  <c:v>46784</c:v>
                </c:pt>
                <c:pt idx="38">
                  <c:v>46813</c:v>
                </c:pt>
                <c:pt idx="39">
                  <c:v>46844</c:v>
                </c:pt>
                <c:pt idx="40">
                  <c:v>46874</c:v>
                </c:pt>
                <c:pt idx="41">
                  <c:v>46905</c:v>
                </c:pt>
                <c:pt idx="42">
                  <c:v>46935</c:v>
                </c:pt>
                <c:pt idx="43">
                  <c:v>46966</c:v>
                </c:pt>
                <c:pt idx="44">
                  <c:v>46997</c:v>
                </c:pt>
                <c:pt idx="45">
                  <c:v>47027</c:v>
                </c:pt>
                <c:pt idx="46">
                  <c:v>47058</c:v>
                </c:pt>
                <c:pt idx="47">
                  <c:v>47088</c:v>
                </c:pt>
                <c:pt idx="48">
                  <c:v>47119</c:v>
                </c:pt>
                <c:pt idx="49">
                  <c:v>47150</c:v>
                </c:pt>
                <c:pt idx="50">
                  <c:v>47178</c:v>
                </c:pt>
                <c:pt idx="51">
                  <c:v>47209</c:v>
                </c:pt>
                <c:pt idx="52">
                  <c:v>47239</c:v>
                </c:pt>
                <c:pt idx="53">
                  <c:v>47270</c:v>
                </c:pt>
                <c:pt idx="54">
                  <c:v>47300</c:v>
                </c:pt>
                <c:pt idx="55">
                  <c:v>47331</c:v>
                </c:pt>
                <c:pt idx="56">
                  <c:v>47362</c:v>
                </c:pt>
                <c:pt idx="57">
                  <c:v>47392</c:v>
                </c:pt>
                <c:pt idx="58">
                  <c:v>47423</c:v>
                </c:pt>
                <c:pt idx="59">
                  <c:v>47453</c:v>
                </c:pt>
              </c:numCache>
            </c:numRef>
          </c:cat>
          <c:val>
            <c:numRef>
              <c:f>Forecast!$B$30:$BI$30</c:f>
              <c:numCache>
                <c:formatCode>"$"#,##0;\("$"#,##0\)</c:formatCode>
                <c:ptCount val="60"/>
                <c:pt idx="0">
                  <c:v>1989568.3061214569</c:v>
                </c:pt>
                <c:pt idx="1">
                  <c:v>1978993.4578173978</c:v>
                </c:pt>
                <c:pt idx="2">
                  <c:v>1968272.5919993122</c:v>
                </c:pt>
                <c:pt idx="3">
                  <c:v>1957402.7883169197</c:v>
                </c:pt>
                <c:pt idx="4">
                  <c:v>1946381.0680129342</c:v>
                </c:pt>
                <c:pt idx="5">
                  <c:v>1935204.3927549238</c:v>
                </c:pt>
                <c:pt idx="6">
                  <c:v>1923869.663443808</c:v>
                </c:pt>
                <c:pt idx="7">
                  <c:v>1912373.7189985246</c:v>
                </c:pt>
                <c:pt idx="8">
                  <c:v>1900713.3351163904</c:v>
                </c:pt>
                <c:pt idx="9">
                  <c:v>1888885.2230086683</c:v>
                </c:pt>
                <c:pt idx="10">
                  <c:v>1876886.0281108464</c:v>
                </c:pt>
                <c:pt idx="11">
                  <c:v>1864712.3287671229</c:v>
                </c:pt>
                <c:pt idx="12">
                  <c:v>7848209.2523884848</c:v>
                </c:pt>
                <c:pt idx="13">
                  <c:v>7831448.4980439181</c:v>
                </c:pt>
                <c:pt idx="14">
                  <c:v>7814424.9121741038</c:v>
                </c:pt>
                <c:pt idx="15">
                  <c:v>7797133.2381485375</c:v>
                </c:pt>
                <c:pt idx="16">
                  <c:v>7779568.1142041031</c:v>
                </c:pt>
                <c:pt idx="17">
                  <c:v>7761724.0713424245</c:v>
                </c:pt>
                <c:pt idx="18">
                  <c:v>7743595.5311851557</c:v>
                </c:pt>
                <c:pt idx="19">
                  <c:v>7725176.8037863858</c:v>
                </c:pt>
                <c:pt idx="20">
                  <c:v>7706462.0854012836</c:v>
                </c:pt>
                <c:pt idx="21">
                  <c:v>7687445.4562101234</c:v>
                </c:pt>
                <c:pt idx="22">
                  <c:v>7668120.8779967837</c:v>
                </c:pt>
                <c:pt idx="23">
                  <c:v>7648482.1917808214</c:v>
                </c:pt>
                <c:pt idx="24">
                  <c:v>7624732.0640955493</c:v>
                </c:pt>
                <c:pt idx="25">
                  <c:v>7600569.6516647907</c:v>
                </c:pt>
                <c:pt idx="26">
                  <c:v>7575986.7087936355</c:v>
                </c:pt>
                <c:pt idx="27">
                  <c:v>7550974.824873277</c:v>
                </c:pt>
                <c:pt idx="28">
                  <c:v>7525525.4210827304</c:v>
                </c:pt>
                <c:pt idx="29">
                  <c:v>7499629.747024592</c:v>
                </c:pt>
                <c:pt idx="30">
                  <c:v>7473278.8772935104</c:v>
                </c:pt>
                <c:pt idx="31">
                  <c:v>7446463.7079760255</c:v>
                </c:pt>
                <c:pt idx="32">
                  <c:v>7419174.9530804101</c:v>
                </c:pt>
                <c:pt idx="33">
                  <c:v>7391403.1408951022</c:v>
                </c:pt>
                <c:pt idx="34">
                  <c:v>7363138.6102743074</c:v>
                </c:pt>
                <c:pt idx="35">
                  <c:v>7334371.5068493159</c:v>
                </c:pt>
                <c:pt idx="36">
                  <c:v>7301717.794308411</c:v>
                </c:pt>
                <c:pt idx="37">
                  <c:v>7268466.2688865503</c:v>
                </c:pt>
                <c:pt idx="38">
                  <c:v>7234604.974326116</c:v>
                </c:pt>
                <c:pt idx="39">
                  <c:v>7200121.7152443361</c:v>
                </c:pt>
                <c:pt idx="40">
                  <c:v>7165004.0523507828</c:v>
                </c:pt>
                <c:pt idx="41">
                  <c:v>7129239.2975692218</c:v>
                </c:pt>
                <c:pt idx="42">
                  <c:v>7092814.5090618925</c:v>
                </c:pt>
                <c:pt idx="43">
                  <c:v>7055716.4861542797</c:v>
                </c:pt>
                <c:pt idx="44">
                  <c:v>7017931.7641583774</c:v>
                </c:pt>
                <c:pt idx="45">
                  <c:v>6979446.60909242</c:v>
                </c:pt>
                <c:pt idx="46">
                  <c:v>6940247.0122950068</c:v>
                </c:pt>
                <c:pt idx="47">
                  <c:v>6900318.6849315083</c:v>
                </c:pt>
                <c:pt idx="48">
                  <c:v>18857489.077110875</c:v>
                </c:pt>
                <c:pt idx="49">
                  <c:v>18813852.421900954</c:v>
                </c:pt>
                <c:pt idx="50">
                  <c:v>18769392.578353956</c:v>
                </c:pt>
                <c:pt idx="51">
                  <c:v>18724093.082703143</c:v>
                </c:pt>
                <c:pt idx="52">
                  <c:v>18677937.141906437</c:v>
                </c:pt>
                <c:pt idx="53">
                  <c:v>18630907.627060916</c:v>
                </c:pt>
                <c:pt idx="54">
                  <c:v>18582987.06668561</c:v>
                </c:pt>
                <c:pt idx="55">
                  <c:v>18534157.639869921</c:v>
                </c:pt>
                <c:pt idx="56">
                  <c:v>18484401.16928504</c:v>
                </c:pt>
                <c:pt idx="57">
                  <c:v>18433699.114055589</c:v>
                </c:pt>
                <c:pt idx="58">
                  <c:v>18382032.562488671</c:v>
                </c:pt>
                <c:pt idx="59">
                  <c:v>18329382.224657539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1C-4046-A25A-85BC037B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481119"/>
        <c:axId val="1116472959"/>
      </c:lineChart>
      <c:dateAx>
        <c:axId val="1116481119"/>
        <c:scaling>
          <c:orientation val="minMax"/>
        </c:scaling>
        <c:delete val="0"/>
        <c:axPos val="b"/>
        <c:numFmt formatCode="mmm\ 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72959"/>
        <c:crosses val="autoZero"/>
        <c:auto val="1"/>
        <c:lblOffset val="100"/>
        <c:baseTimeUnit val="months"/>
      </c:dateAx>
      <c:valAx>
        <c:axId val="11164729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$&quot;#,##0;\(&quot;$&quot;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81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D1829"/>
                </a:solidFill>
                <a:latin typeface="Aptos Narrow"/>
                <a:ea typeface="Aptos Narrow"/>
                <a:cs typeface="Aptos Narrow"/>
              </a:defRPr>
            </a:pPr>
            <a:r>
              <a:rPr lang="en-US"/>
              <a:t>Gross &amp; EBITDA Margin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D1829"/>
              </a:solidFill>
              <a:latin typeface="Aptos Narrow"/>
              <a:ea typeface="Aptos Narrow"/>
              <a:cs typeface="Aptos Narrow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Dashboard!$A$45</c:f>
              <c:strCache>
                <c:ptCount val="1"/>
                <c:pt idx="0">
                  <c:v>Gross margin</c:v>
                </c:pt>
              </c:strCache>
            </c:strRef>
          </c:tx>
          <c:spPr>
            <a:ln w="25400" cap="rnd">
              <a:solidFill>
                <a:srgbClr val="1C5FCC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Dashboard!$B$44:$F$44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Dashboard!$B$45:$F$45</c:f>
              <c:numCache>
                <c:formatCode>General</c:formatCode>
                <c:ptCount val="5"/>
                <c:pt idx="0">
                  <c:v>0.75</c:v>
                </c:pt>
                <c:pt idx="1">
                  <c:v>0.75</c:v>
                </c:pt>
                <c:pt idx="2">
                  <c:v>0.75</c:v>
                </c:pt>
                <c:pt idx="3">
                  <c:v>0.75</c:v>
                </c:pt>
                <c:pt idx="4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30-4A7C-95BE-031453FC2083}"/>
            </c:ext>
          </c:extLst>
        </c:ser>
        <c:ser>
          <c:idx val="1"/>
          <c:order val="1"/>
          <c:tx>
            <c:strRef>
              <c:f>Dashboard!$A$46</c:f>
              <c:strCache>
                <c:ptCount val="1"/>
                <c:pt idx="0">
                  <c:v>EBITDA margin</c:v>
                </c:pt>
              </c:strCache>
            </c:strRef>
          </c:tx>
          <c:spPr>
            <a:ln w="25400" cap="rnd">
              <a:solidFill>
                <a:srgbClr val="10A5A5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Dashboard!$B$44:$F$44</c:f>
              <c:strCache>
                <c:ptCount val="5"/>
                <c:pt idx="0">
                  <c:v>Year 1</c:v>
                </c:pt>
                <c:pt idx="1">
                  <c:v>Year 2</c:v>
                </c:pt>
                <c:pt idx="2">
                  <c:v>Year 3</c:v>
                </c:pt>
                <c:pt idx="3">
                  <c:v>Year 4</c:v>
                </c:pt>
                <c:pt idx="4">
                  <c:v>Year 5</c:v>
                </c:pt>
              </c:strCache>
            </c:strRef>
          </c:cat>
          <c:val>
            <c:numRef>
              <c:f>Dashboard!$B$46:$F$46</c:f>
              <c:numCache>
                <c:formatCode>General</c:formatCode>
                <c:ptCount val="5"/>
                <c:pt idx="0">
                  <c:v>-0.08</c:v>
                </c:pt>
                <c:pt idx="1">
                  <c:v>-0.08</c:v>
                </c:pt>
                <c:pt idx="2">
                  <c:v>-0.08</c:v>
                </c:pt>
                <c:pt idx="3">
                  <c:v>-0.08</c:v>
                </c:pt>
                <c:pt idx="4">
                  <c:v>-7.9999999999999946E-2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30-4A7C-95BE-031453FC2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475359"/>
        <c:axId val="1116488319"/>
      </c:lineChart>
      <c:catAx>
        <c:axId val="111647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88319"/>
        <c:crosses val="autoZero"/>
        <c:auto val="1"/>
        <c:lblAlgn val="ctr"/>
        <c:lblOffset val="100"/>
        <c:noMultiLvlLbl val="0"/>
      </c:catAx>
      <c:valAx>
        <c:axId val="11164883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47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rgbClr val="0D1829"/>
                </a:solidFill>
                <a:latin typeface="Aptos Narrow"/>
                <a:ea typeface="Aptos Narrow"/>
                <a:cs typeface="Aptos Narrow"/>
              </a:defRPr>
            </a:pPr>
            <a:r>
              <a:rPr lang="en-US"/>
              <a:t>Year 5 OpEx Mix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rgbClr val="0D1829"/>
              </a:solidFill>
              <a:latin typeface="Aptos Narrow"/>
              <a:ea typeface="Aptos Narrow"/>
              <a:cs typeface="Aptos Narrow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1C5FCC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DFA-4E4E-9745-C46B05FCB84B}"/>
              </c:ext>
            </c:extLst>
          </c:dPt>
          <c:dPt>
            <c:idx val="1"/>
            <c:bubble3D val="0"/>
            <c:spPr>
              <a:solidFill>
                <a:srgbClr val="10A5A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0DFA-4E4E-9745-C46B05FCB84B}"/>
              </c:ext>
            </c:extLst>
          </c:dPt>
          <c:dPt>
            <c:idx val="2"/>
            <c:bubble3D val="0"/>
            <c:spPr>
              <a:solidFill>
                <a:srgbClr val="E8A33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DFA-4E4E-9745-C46B05FCB84B}"/>
              </c:ext>
            </c:extLst>
          </c:dPt>
          <c:cat>
            <c:strRef>
              <c:f>Dashboard!$A$49:$A$51</c:f>
              <c:strCache>
                <c:ptCount val="3"/>
                <c:pt idx="0">
                  <c:v>Sales &amp; marketing</c:v>
                </c:pt>
                <c:pt idx="1">
                  <c:v>Research &amp; development</c:v>
                </c:pt>
                <c:pt idx="2">
                  <c:v>General &amp; admin</c:v>
                </c:pt>
              </c:strCache>
            </c:strRef>
          </c:cat>
          <c:val>
            <c:numRef>
              <c:f>Dashboard!$B$49:$B$51</c:f>
              <c:numCache>
                <c:formatCode>General</c:formatCode>
                <c:ptCount val="3"/>
                <c:pt idx="0">
                  <c:v>2706048</c:v>
                </c:pt>
                <c:pt idx="1">
                  <c:v>1691280</c:v>
                </c:pt>
                <c:pt idx="2">
                  <c:v>1217721.5999999999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FA-4E4E-9745-C46B05FCB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5</xdr:col>
      <xdr:colOff>0</xdr:colOff>
      <xdr:row>26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0E905E-3DFC-C2C4-E108-DBDFD16CC6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12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10E2E38-C498-48E2-5DC5-8A237684DC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26</xdr:row>
      <xdr:rowOff>0</xdr:rowOff>
    </xdr:from>
    <xdr:to>
      <xdr:col>5</xdr:col>
      <xdr:colOff>0</xdr:colOff>
      <xdr:row>38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9A847EC-104D-7E8D-A30E-D34CDFC4E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9</xdr:col>
      <xdr:colOff>0</xdr:colOff>
      <xdr:row>38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E6F87AA-1737-90F9-B49E-382E39CC27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0A1317A3-65EE-4BC1-9CD6-6FD4B1964DC0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8faded84-2347-488a-a0ff-160bc61d7af4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16950-9DBB-43EB-B8EB-792C727CABE0}">
  <dimension ref="A1:I54"/>
  <sheetViews>
    <sheetView showGridLines="0" topLeftCell="A37" workbookViewId="0">
      <selection activeCell="E60" sqref="E60"/>
    </sheetView>
  </sheetViews>
  <sheetFormatPr defaultRowHeight="14.4" outlineLevelRow="1" x14ac:dyDescent="0.3"/>
  <cols>
    <col min="1" max="1" width="3.33203125" customWidth="1"/>
    <col min="2" max="9" width="17" customWidth="1"/>
  </cols>
  <sheetData>
    <row r="1" spans="1:9" ht="21" x14ac:dyDescent="0.4">
      <c r="A1" s="22" t="s">
        <v>93</v>
      </c>
    </row>
    <row r="2" spans="1:9" x14ac:dyDescent="0.3">
      <c r="A2" s="2" t="s">
        <v>94</v>
      </c>
    </row>
    <row r="4" spans="1:9" x14ac:dyDescent="0.3">
      <c r="B4" s="14" t="s">
        <v>95</v>
      </c>
    </row>
    <row r="5" spans="1:9" ht="18" customHeight="1" x14ac:dyDescent="0.3">
      <c r="B5" s="26" t="s">
        <v>96</v>
      </c>
      <c r="C5" s="26"/>
      <c r="D5" s="26" t="s">
        <v>97</v>
      </c>
      <c r="E5" s="26"/>
      <c r="F5" s="26" t="s">
        <v>98</v>
      </c>
      <c r="G5" s="26"/>
      <c r="H5" s="26" t="s">
        <v>99</v>
      </c>
      <c r="I5" s="26"/>
    </row>
    <row r="6" spans="1:9" ht="22.05" customHeight="1" x14ac:dyDescent="0.3">
      <c r="B6" s="27">
        <f>'Income Statement'!F5</f>
        <v>6765120</v>
      </c>
      <c r="C6" s="28"/>
      <c r="D6" s="37">
        <f>('Income Statement'!F5/'Income Statement'!B5)^(1/4)-1</f>
        <v>0.54089684031382368</v>
      </c>
      <c r="E6" s="38"/>
      <c r="F6" s="37">
        <f>'Income Statement'!F7/'Income Statement'!F5</f>
        <v>0.75</v>
      </c>
      <c r="G6" s="38"/>
      <c r="H6" s="37">
        <f>'Income Statement'!F13/'Income Statement'!F5</f>
        <v>-7.9999999999999946E-2</v>
      </c>
      <c r="I6" s="41"/>
    </row>
    <row r="7" spans="1:9" ht="22.05" customHeight="1" x14ac:dyDescent="0.3">
      <c r="B7" s="29"/>
      <c r="C7" s="30"/>
      <c r="D7" s="39"/>
      <c r="E7" s="40"/>
      <c r="F7" s="39"/>
      <c r="G7" s="40"/>
      <c r="H7" s="39"/>
      <c r="I7" s="42"/>
    </row>
    <row r="9" spans="1:9" ht="18" customHeight="1" x14ac:dyDescent="0.3">
      <c r="B9" s="26" t="s">
        <v>100</v>
      </c>
      <c r="C9" s="26"/>
      <c r="D9" s="26" t="s">
        <v>101</v>
      </c>
      <c r="E9" s="26"/>
      <c r="F9" s="26" t="s">
        <v>102</v>
      </c>
      <c r="G9" s="26"/>
      <c r="H9" s="26" t="s">
        <v>103</v>
      </c>
      <c r="I9" s="26"/>
    </row>
    <row r="10" spans="1:9" ht="22.05" customHeight="1" x14ac:dyDescent="0.3">
      <c r="B10" s="33">
        <f>'Income Statement'!F17</f>
        <v>-581209.59999999963</v>
      </c>
      <c r="C10" s="34"/>
      <c r="D10" s="27">
        <f>'Cash Flow'!F20</f>
        <v>18329382.224657536</v>
      </c>
      <c r="E10" s="28"/>
      <c r="F10" s="27">
        <f>SUM(Assumptions!B28:B32)</f>
        <v>18000000</v>
      </c>
      <c r="G10" s="28"/>
      <c r="H10" s="27">
        <f>MIN(Forecast!B30:BI30)</f>
        <v>1864712.3287671229</v>
      </c>
      <c r="I10" s="31"/>
    </row>
    <row r="11" spans="1:9" ht="22.05" customHeight="1" x14ac:dyDescent="0.3">
      <c r="B11" s="35"/>
      <c r="C11" s="36"/>
      <c r="D11" s="29"/>
      <c r="E11" s="30"/>
      <c r="F11" s="29"/>
      <c r="G11" s="30"/>
      <c r="H11" s="29"/>
      <c r="I11" s="32"/>
    </row>
    <row r="12" spans="1:9" x14ac:dyDescent="0.3">
      <c r="A12" s="14" t="s">
        <v>109</v>
      </c>
    </row>
    <row r="39" spans="1:6" outlineLevel="1" x14ac:dyDescent="0.3">
      <c r="A39" s="8" t="s">
        <v>104</v>
      </c>
    </row>
    <row r="40" spans="1:6" outlineLevel="1" x14ac:dyDescent="0.3">
      <c r="A40" t="s">
        <v>34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</row>
    <row r="41" spans="1:6" outlineLevel="1" x14ac:dyDescent="0.3">
      <c r="A41" t="s">
        <v>35</v>
      </c>
      <c r="B41">
        <f>'Income Statement'!B5</f>
        <v>1200000</v>
      </c>
      <c r="C41">
        <f>'Income Statement'!C5</f>
        <v>2160000</v>
      </c>
      <c r="D41">
        <f>'Income Statement'!D5</f>
        <v>3456000</v>
      </c>
      <c r="E41">
        <f>'Income Statement'!E5</f>
        <v>5011200</v>
      </c>
      <c r="F41">
        <f>'Income Statement'!F5</f>
        <v>6765120</v>
      </c>
    </row>
    <row r="42" spans="1:6" outlineLevel="1" x14ac:dyDescent="0.3">
      <c r="A42" t="s">
        <v>46</v>
      </c>
      <c r="B42">
        <f>'Income Statement'!B17</f>
        <v>-136000</v>
      </c>
      <c r="C42">
        <f>'Income Statement'!C17</f>
        <v>-212800</v>
      </c>
      <c r="D42">
        <f>'Income Statement'!D17</f>
        <v>-316480</v>
      </c>
      <c r="E42">
        <f>'Income Statement'!E17</f>
        <v>-440896</v>
      </c>
      <c r="F42">
        <f>'Income Statement'!F17</f>
        <v>-581209.59999999963</v>
      </c>
    </row>
    <row r="43" spans="1:6" outlineLevel="1" x14ac:dyDescent="0.3"/>
    <row r="44" spans="1:6" outlineLevel="1" x14ac:dyDescent="0.3">
      <c r="A44" t="s">
        <v>105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</row>
    <row r="45" spans="1:6" outlineLevel="1" x14ac:dyDescent="0.3">
      <c r="A45" t="s">
        <v>106</v>
      </c>
      <c r="B45">
        <f>'Income Statement'!B19</f>
        <v>0.75</v>
      </c>
      <c r="C45">
        <f>'Income Statement'!C19</f>
        <v>0.75</v>
      </c>
      <c r="D45">
        <f>'Income Statement'!D19</f>
        <v>0.75</v>
      </c>
      <c r="E45">
        <f>'Income Statement'!E19</f>
        <v>0.75</v>
      </c>
      <c r="F45">
        <f>'Income Statement'!F19</f>
        <v>0.75</v>
      </c>
    </row>
    <row r="46" spans="1:6" outlineLevel="1" x14ac:dyDescent="0.3">
      <c r="A46" t="s">
        <v>107</v>
      </c>
      <c r="B46">
        <f>'Income Statement'!B20</f>
        <v>-0.08</v>
      </c>
      <c r="C46">
        <f>'Income Statement'!C20</f>
        <v>-0.08</v>
      </c>
      <c r="D46">
        <f>'Income Statement'!D20</f>
        <v>-0.08</v>
      </c>
      <c r="E46">
        <f>'Income Statement'!E20</f>
        <v>-0.08</v>
      </c>
      <c r="F46">
        <f>'Income Statement'!F20</f>
        <v>-7.9999999999999946E-2</v>
      </c>
    </row>
    <row r="47" spans="1:6" outlineLevel="1" x14ac:dyDescent="0.3"/>
    <row r="48" spans="1:6" outlineLevel="1" x14ac:dyDescent="0.3">
      <c r="A48" t="s">
        <v>108</v>
      </c>
    </row>
    <row r="49" spans="1:2" outlineLevel="1" x14ac:dyDescent="0.3">
      <c r="A49" t="s">
        <v>38</v>
      </c>
      <c r="B49">
        <f>-'Income Statement'!F9</f>
        <v>2706048</v>
      </c>
    </row>
    <row r="50" spans="1:2" outlineLevel="1" x14ac:dyDescent="0.3">
      <c r="A50" t="s">
        <v>39</v>
      </c>
      <c r="B50">
        <f>-'Income Statement'!F10</f>
        <v>1691280</v>
      </c>
    </row>
    <row r="51" spans="1:2" outlineLevel="1" x14ac:dyDescent="0.3">
      <c r="A51" t="s">
        <v>40</v>
      </c>
      <c r="B51">
        <f>-'Income Statement'!F11</f>
        <v>1217721.5999999999</v>
      </c>
    </row>
    <row r="53" spans="1:2" x14ac:dyDescent="0.3">
      <c r="A53" s="8" t="s">
        <v>30</v>
      </c>
    </row>
    <row r="54" spans="1:2" x14ac:dyDescent="0.3">
      <c r="A54" s="8" t="s">
        <v>31</v>
      </c>
    </row>
  </sheetData>
  <mergeCells count="24">
    <mergeCell ref="B5:C5"/>
    <mergeCell ref="B6:C6"/>
    <mergeCell ref="B7:C7"/>
    <mergeCell ref="D5:E5"/>
    <mergeCell ref="D6:E6"/>
    <mergeCell ref="D7:E7"/>
    <mergeCell ref="F5:G5"/>
    <mergeCell ref="F6:G6"/>
    <mergeCell ref="F7:G7"/>
    <mergeCell ref="H5:I5"/>
    <mergeCell ref="H6:I6"/>
    <mergeCell ref="H7:I7"/>
    <mergeCell ref="B9:C9"/>
    <mergeCell ref="B10:C10"/>
    <mergeCell ref="B11:C11"/>
    <mergeCell ref="D9:E9"/>
    <mergeCell ref="D10:E10"/>
    <mergeCell ref="D11:E11"/>
    <mergeCell ref="F9:G9"/>
    <mergeCell ref="F10:G10"/>
    <mergeCell ref="F11:G11"/>
    <mergeCell ref="H9:I9"/>
    <mergeCell ref="H10:I10"/>
    <mergeCell ref="H11:I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92898-C281-4492-9C17-4EB7C3684794}">
  <dimension ref="A1:B38"/>
  <sheetViews>
    <sheetView topLeftCell="A15" workbookViewId="0"/>
  </sheetViews>
  <sheetFormatPr defaultRowHeight="14.4" x14ac:dyDescent="0.3"/>
  <cols>
    <col min="1" max="1" width="34.77734375" customWidth="1"/>
    <col min="2" max="2" width="16.77734375" customWidth="1"/>
  </cols>
  <sheetData>
    <row r="1" spans="1:2" ht="19.8" x14ac:dyDescent="0.4">
      <c r="A1" s="1" t="s">
        <v>0</v>
      </c>
    </row>
    <row r="2" spans="1:2" x14ac:dyDescent="0.3">
      <c r="A2" s="2" t="s">
        <v>1</v>
      </c>
    </row>
    <row r="4" spans="1:2" x14ac:dyDescent="0.3">
      <c r="A4" s="3" t="s">
        <v>2</v>
      </c>
      <c r="B4" s="3"/>
    </row>
    <row r="5" spans="1:2" x14ac:dyDescent="0.3">
      <c r="A5" s="4" t="s">
        <v>3</v>
      </c>
      <c r="B5" s="5">
        <v>1200000</v>
      </c>
    </row>
    <row r="6" spans="1:2" x14ac:dyDescent="0.3">
      <c r="A6" s="4" t="s">
        <v>4</v>
      </c>
      <c r="B6" s="6">
        <v>0.8</v>
      </c>
    </row>
    <row r="7" spans="1:2" x14ac:dyDescent="0.3">
      <c r="A7" s="4" t="s">
        <v>5</v>
      </c>
      <c r="B7" s="6">
        <v>0.6</v>
      </c>
    </row>
    <row r="8" spans="1:2" x14ac:dyDescent="0.3">
      <c r="A8" s="4" t="s">
        <v>6</v>
      </c>
      <c r="B8" s="6">
        <v>0.45</v>
      </c>
    </row>
    <row r="9" spans="1:2" x14ac:dyDescent="0.3">
      <c r="A9" s="4" t="s">
        <v>7</v>
      </c>
      <c r="B9" s="6">
        <v>0.35</v>
      </c>
    </row>
    <row r="10" spans="1:2" x14ac:dyDescent="0.3">
      <c r="A10" s="4" t="s">
        <v>8</v>
      </c>
      <c r="B10" s="6">
        <v>0.75</v>
      </c>
    </row>
    <row r="12" spans="1:2" x14ac:dyDescent="0.3">
      <c r="A12" s="3" t="s">
        <v>9</v>
      </c>
      <c r="B12" s="3"/>
    </row>
    <row r="13" spans="1:2" x14ac:dyDescent="0.3">
      <c r="A13" s="4" t="s">
        <v>10</v>
      </c>
      <c r="B13" s="6">
        <v>0.4</v>
      </c>
    </row>
    <row r="14" spans="1:2" x14ac:dyDescent="0.3">
      <c r="A14" s="4" t="s">
        <v>11</v>
      </c>
      <c r="B14" s="6">
        <v>0.25</v>
      </c>
    </row>
    <row r="15" spans="1:2" x14ac:dyDescent="0.3">
      <c r="A15" s="4" t="s">
        <v>12</v>
      </c>
      <c r="B15" s="6">
        <v>0.18</v>
      </c>
    </row>
    <row r="17" spans="1:2" x14ac:dyDescent="0.3">
      <c r="A17" s="3" t="s">
        <v>13</v>
      </c>
      <c r="B17" s="3"/>
    </row>
    <row r="18" spans="1:2" x14ac:dyDescent="0.3">
      <c r="A18" s="4" t="s">
        <v>14</v>
      </c>
      <c r="B18" s="7">
        <v>45</v>
      </c>
    </row>
    <row r="19" spans="1:2" x14ac:dyDescent="0.3">
      <c r="A19" s="4" t="s">
        <v>15</v>
      </c>
      <c r="B19" s="7">
        <v>30</v>
      </c>
    </row>
    <row r="20" spans="1:2" x14ac:dyDescent="0.3">
      <c r="A20" s="4" t="s">
        <v>16</v>
      </c>
      <c r="B20" s="6">
        <v>0.12</v>
      </c>
    </row>
    <row r="21" spans="1:2" x14ac:dyDescent="0.3">
      <c r="A21" s="4" t="s">
        <v>17</v>
      </c>
      <c r="B21" s="5">
        <v>60000</v>
      </c>
    </row>
    <row r="22" spans="1:2" x14ac:dyDescent="0.3">
      <c r="A22" s="4" t="s">
        <v>18</v>
      </c>
      <c r="B22" s="5">
        <v>40000</v>
      </c>
    </row>
    <row r="23" spans="1:2" x14ac:dyDescent="0.3">
      <c r="A23" s="4" t="s">
        <v>19</v>
      </c>
      <c r="B23" s="6">
        <v>0.21</v>
      </c>
    </row>
    <row r="24" spans="1:2" x14ac:dyDescent="0.3">
      <c r="A24" s="4" t="s">
        <v>20</v>
      </c>
      <c r="B24" s="5">
        <v>2000000</v>
      </c>
    </row>
    <row r="25" spans="1:2" x14ac:dyDescent="0.3">
      <c r="A25" s="4" t="s">
        <v>21</v>
      </c>
      <c r="B25" s="5">
        <v>2000000</v>
      </c>
    </row>
    <row r="27" spans="1:2" x14ac:dyDescent="0.3">
      <c r="A27" s="3" t="s">
        <v>22</v>
      </c>
      <c r="B27" s="3"/>
    </row>
    <row r="28" spans="1:2" x14ac:dyDescent="0.3">
      <c r="A28" s="4" t="s">
        <v>23</v>
      </c>
      <c r="B28" s="5">
        <v>0</v>
      </c>
    </row>
    <row r="29" spans="1:2" x14ac:dyDescent="0.3">
      <c r="A29" s="4" t="s">
        <v>24</v>
      </c>
      <c r="B29" s="5">
        <v>6000000</v>
      </c>
    </row>
    <row r="30" spans="1:2" x14ac:dyDescent="0.3">
      <c r="A30" s="4" t="s">
        <v>25</v>
      </c>
      <c r="B30" s="5">
        <v>0</v>
      </c>
    </row>
    <row r="31" spans="1:2" x14ac:dyDescent="0.3">
      <c r="A31" s="4" t="s">
        <v>26</v>
      </c>
      <c r="B31" s="5">
        <v>0</v>
      </c>
    </row>
    <row r="32" spans="1:2" x14ac:dyDescent="0.3">
      <c r="A32" s="4" t="s">
        <v>27</v>
      </c>
      <c r="B32" s="5">
        <v>12000000</v>
      </c>
    </row>
    <row r="35" spans="1:1" x14ac:dyDescent="0.3">
      <c r="A35" s="3" t="s">
        <v>28</v>
      </c>
    </row>
    <row r="36" spans="1:1" x14ac:dyDescent="0.3">
      <c r="A36" s="8" t="s">
        <v>29</v>
      </c>
    </row>
    <row r="37" spans="1:1" x14ac:dyDescent="0.3">
      <c r="A37" s="8" t="s">
        <v>30</v>
      </c>
    </row>
    <row r="38" spans="1:1" x14ac:dyDescent="0.3">
      <c r="A38" s="8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FE47-1EBE-40FA-B96C-FFC92D913A70}">
  <dimension ref="A1:F26"/>
  <sheetViews>
    <sheetView workbookViewId="0">
      <selection activeCell="B6" sqref="B6"/>
    </sheetView>
  </sheetViews>
  <sheetFormatPr defaultRowHeight="14.4" x14ac:dyDescent="0.3"/>
  <cols>
    <col min="1" max="1" width="30.77734375" customWidth="1"/>
    <col min="2" max="6" width="14.77734375" customWidth="1"/>
  </cols>
  <sheetData>
    <row r="1" spans="1:6" ht="19.8" x14ac:dyDescent="0.4">
      <c r="A1" s="1" t="s">
        <v>32</v>
      </c>
    </row>
    <row r="2" spans="1:6" x14ac:dyDescent="0.3">
      <c r="A2" s="2" t="s">
        <v>33</v>
      </c>
    </row>
    <row r="4" spans="1:6" x14ac:dyDescent="0.3">
      <c r="A4" s="9" t="s">
        <v>34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</row>
    <row r="5" spans="1:6" x14ac:dyDescent="0.3">
      <c r="A5" s="4" t="s">
        <v>35</v>
      </c>
      <c r="B5" s="10">
        <f>Assumptions!B5</f>
        <v>1200000</v>
      </c>
      <c r="C5" s="10">
        <f>B5*(1+Assumptions!B6)</f>
        <v>2160000</v>
      </c>
      <c r="D5" s="10">
        <f>C5*(1+Assumptions!B7)</f>
        <v>3456000</v>
      </c>
      <c r="E5" s="10">
        <f>D5*(1+Assumptions!B8)</f>
        <v>5011200</v>
      </c>
      <c r="F5" s="10">
        <f>E5*(1+Assumptions!B9)</f>
        <v>6765120</v>
      </c>
    </row>
    <row r="6" spans="1:6" x14ac:dyDescent="0.3">
      <c r="A6" s="4" t="s">
        <v>36</v>
      </c>
      <c r="B6" s="10">
        <f>-B5*(1-Assumptions!$B$10)</f>
        <v>-300000</v>
      </c>
      <c r="C6" s="10">
        <f>-C5*(1-Assumptions!$B$10)</f>
        <v>-540000</v>
      </c>
      <c r="D6" s="10">
        <f>-D5*(1-Assumptions!$B$10)</f>
        <v>-864000</v>
      </c>
      <c r="E6" s="10">
        <f>-E5*(1-Assumptions!$B$10)</f>
        <v>-1252800</v>
      </c>
      <c r="F6" s="10">
        <f>-F5*(1-Assumptions!$B$10)</f>
        <v>-1691280</v>
      </c>
    </row>
    <row r="7" spans="1:6" x14ac:dyDescent="0.3">
      <c r="A7" s="11" t="s">
        <v>37</v>
      </c>
      <c r="B7" s="12">
        <f>B5+B6</f>
        <v>900000</v>
      </c>
      <c r="C7" s="12">
        <f>C5+C6</f>
        <v>1620000</v>
      </c>
      <c r="D7" s="12">
        <f>D5+D6</f>
        <v>2592000</v>
      </c>
      <c r="E7" s="12">
        <f>E5+E6</f>
        <v>3758400</v>
      </c>
      <c r="F7" s="12">
        <f>F5+F6</f>
        <v>5073840</v>
      </c>
    </row>
    <row r="9" spans="1:6" x14ac:dyDescent="0.3">
      <c r="A9" s="4" t="s">
        <v>38</v>
      </c>
      <c r="B9" s="10">
        <f>-B5*Assumptions!$B$13</f>
        <v>-480000</v>
      </c>
      <c r="C9" s="10">
        <f>-C5*Assumptions!$B$13</f>
        <v>-864000</v>
      </c>
      <c r="D9" s="10">
        <f>-D5*Assumptions!$B$13</f>
        <v>-1382400</v>
      </c>
      <c r="E9" s="10">
        <f>-E5*Assumptions!$B$13</f>
        <v>-2004480</v>
      </c>
      <c r="F9" s="10">
        <f>-F5*Assumptions!$B$13</f>
        <v>-2706048</v>
      </c>
    </row>
    <row r="10" spans="1:6" x14ac:dyDescent="0.3">
      <c r="A10" s="4" t="s">
        <v>39</v>
      </c>
      <c r="B10" s="10">
        <f>-B5*Assumptions!$B$14</f>
        <v>-300000</v>
      </c>
      <c r="C10" s="10">
        <f>-C5*Assumptions!$B$14</f>
        <v>-540000</v>
      </c>
      <c r="D10" s="10">
        <f>-D5*Assumptions!$B$14</f>
        <v>-864000</v>
      </c>
      <c r="E10" s="10">
        <f>-E5*Assumptions!$B$14</f>
        <v>-1252800</v>
      </c>
      <c r="F10" s="10">
        <f>-F5*Assumptions!$B$14</f>
        <v>-1691280</v>
      </c>
    </row>
    <row r="11" spans="1:6" x14ac:dyDescent="0.3">
      <c r="A11" s="4" t="s">
        <v>40</v>
      </c>
      <c r="B11" s="10">
        <f>-B5*Assumptions!$B$15</f>
        <v>-216000</v>
      </c>
      <c r="C11" s="10">
        <f>-C5*Assumptions!$B$15</f>
        <v>-388800</v>
      </c>
      <c r="D11" s="10">
        <f>-D5*Assumptions!$B$15</f>
        <v>-622080</v>
      </c>
      <c r="E11" s="10">
        <f>-E5*Assumptions!$B$15</f>
        <v>-902016</v>
      </c>
      <c r="F11" s="10">
        <f>-F5*Assumptions!$B$15</f>
        <v>-1217721.5999999999</v>
      </c>
    </row>
    <row r="12" spans="1:6" x14ac:dyDescent="0.3">
      <c r="A12" s="4" t="s">
        <v>41</v>
      </c>
      <c r="B12" s="10">
        <f>SUM(B9:B11)</f>
        <v>-996000</v>
      </c>
      <c r="C12" s="10">
        <f>SUM(C9:C11)</f>
        <v>-1792800</v>
      </c>
      <c r="D12" s="10">
        <f>SUM(D9:D11)</f>
        <v>-2868480</v>
      </c>
      <c r="E12" s="10">
        <f>SUM(E9:E11)</f>
        <v>-4159296</v>
      </c>
      <c r="F12" s="10">
        <f>SUM(F9:F11)</f>
        <v>-5615049.5999999996</v>
      </c>
    </row>
    <row r="13" spans="1:6" x14ac:dyDescent="0.3">
      <c r="A13" s="11" t="s">
        <v>42</v>
      </c>
      <c r="B13" s="12">
        <f>B7+B12</f>
        <v>-96000</v>
      </c>
      <c r="C13" s="12">
        <f>C7+C12</f>
        <v>-172800</v>
      </c>
      <c r="D13" s="12">
        <f>D7+D12</f>
        <v>-276480</v>
      </c>
      <c r="E13" s="12">
        <f>E7+E12</f>
        <v>-400896</v>
      </c>
      <c r="F13" s="12">
        <f>F7+F12</f>
        <v>-541209.59999999963</v>
      </c>
    </row>
    <row r="14" spans="1:6" x14ac:dyDescent="0.3">
      <c r="A14" s="4" t="s">
        <v>43</v>
      </c>
      <c r="B14" s="10">
        <f>-Assumptions!$B$22</f>
        <v>-40000</v>
      </c>
      <c r="C14" s="10">
        <f>-Assumptions!$B$22</f>
        <v>-40000</v>
      </c>
      <c r="D14" s="10">
        <f>-Assumptions!$B$22</f>
        <v>-40000</v>
      </c>
      <c r="E14" s="10">
        <f>-Assumptions!$B$22</f>
        <v>-40000</v>
      </c>
      <c r="F14" s="10">
        <f>-Assumptions!$B$22</f>
        <v>-40000</v>
      </c>
    </row>
    <row r="15" spans="1:6" x14ac:dyDescent="0.3">
      <c r="A15" s="4" t="s">
        <v>44</v>
      </c>
      <c r="B15" s="10">
        <f>B13+B14</f>
        <v>-136000</v>
      </c>
      <c r="C15" s="10">
        <f>C13+C14</f>
        <v>-212800</v>
      </c>
      <c r="D15" s="10">
        <f>D13+D14</f>
        <v>-316480</v>
      </c>
      <c r="E15" s="10">
        <f>E13+E14</f>
        <v>-440896</v>
      </c>
      <c r="F15" s="10">
        <f>F13+F14</f>
        <v>-581209.59999999963</v>
      </c>
    </row>
    <row r="16" spans="1:6" x14ac:dyDescent="0.3">
      <c r="A16" s="4" t="s">
        <v>45</v>
      </c>
      <c r="B16" s="10">
        <f>-MAX(0,B15*Assumptions!$B$23)</f>
        <v>0</v>
      </c>
      <c r="C16" s="10">
        <f>-MAX(0,C15*Assumptions!$B$23)</f>
        <v>0</v>
      </c>
      <c r="D16" s="10">
        <f>-MAX(0,D15*Assumptions!$B$23)</f>
        <v>0</v>
      </c>
      <c r="E16" s="10">
        <f>-MAX(0,E15*Assumptions!$B$23)</f>
        <v>0</v>
      </c>
      <c r="F16" s="10">
        <f>-MAX(0,F15*Assumptions!$B$23)</f>
        <v>0</v>
      </c>
    </row>
    <row r="17" spans="1:6" x14ac:dyDescent="0.3">
      <c r="A17" s="11" t="s">
        <v>46</v>
      </c>
      <c r="B17" s="12">
        <f>B15+B16</f>
        <v>-136000</v>
      </c>
      <c r="C17" s="12">
        <f>C15+C16</f>
        <v>-212800</v>
      </c>
      <c r="D17" s="12">
        <f>D15+D16</f>
        <v>-316480</v>
      </c>
      <c r="E17" s="12">
        <f>E15+E16</f>
        <v>-440896</v>
      </c>
      <c r="F17" s="12">
        <f>F15+F16</f>
        <v>-581209.59999999963</v>
      </c>
    </row>
    <row r="19" spans="1:6" x14ac:dyDescent="0.3">
      <c r="A19" s="4" t="s">
        <v>8</v>
      </c>
      <c r="B19" s="13">
        <f>B7/B5</f>
        <v>0.75</v>
      </c>
      <c r="C19" s="13">
        <f>C7/C5</f>
        <v>0.75</v>
      </c>
      <c r="D19" s="13">
        <f>D7/D5</f>
        <v>0.75</v>
      </c>
      <c r="E19" s="13">
        <f>E7/E5</f>
        <v>0.75</v>
      </c>
      <c r="F19" s="13">
        <f>F7/F5</f>
        <v>0.75</v>
      </c>
    </row>
    <row r="20" spans="1:6" x14ac:dyDescent="0.3">
      <c r="A20" s="4" t="s">
        <v>47</v>
      </c>
      <c r="B20" s="13">
        <f>B13/B5</f>
        <v>-0.08</v>
      </c>
      <c r="C20" s="13">
        <f>C13/C5</f>
        <v>-0.08</v>
      </c>
      <c r="D20" s="13">
        <f>D13/D5</f>
        <v>-0.08</v>
      </c>
      <c r="E20" s="13">
        <f>E13/E5</f>
        <v>-0.08</v>
      </c>
      <c r="F20" s="13">
        <f>F13/F5</f>
        <v>-7.9999999999999946E-2</v>
      </c>
    </row>
    <row r="23" spans="1:6" x14ac:dyDescent="0.3">
      <c r="A23" s="3" t="s">
        <v>28</v>
      </c>
    </row>
    <row r="24" spans="1:6" x14ac:dyDescent="0.3">
      <c r="A24" s="8" t="s">
        <v>29</v>
      </c>
    </row>
    <row r="25" spans="1:6" x14ac:dyDescent="0.3">
      <c r="A25" s="8" t="s">
        <v>30</v>
      </c>
    </row>
    <row r="26" spans="1:6" x14ac:dyDescent="0.3">
      <c r="A26" s="8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BAC1-E602-49A5-9C92-9345A4E6C8A0}">
  <dimension ref="A1:F26"/>
  <sheetViews>
    <sheetView workbookViewId="0"/>
  </sheetViews>
  <sheetFormatPr defaultRowHeight="14.4" x14ac:dyDescent="0.3"/>
  <cols>
    <col min="1" max="1" width="32.77734375" customWidth="1"/>
    <col min="2" max="6" width="14.77734375" customWidth="1"/>
  </cols>
  <sheetData>
    <row r="1" spans="1:6" ht="19.8" x14ac:dyDescent="0.4">
      <c r="A1" s="1" t="s">
        <v>48</v>
      </c>
    </row>
    <row r="2" spans="1:6" x14ac:dyDescent="0.3">
      <c r="A2" s="2" t="s">
        <v>49</v>
      </c>
    </row>
    <row r="4" spans="1:6" x14ac:dyDescent="0.3">
      <c r="A4" s="9" t="s">
        <v>34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</row>
    <row r="5" spans="1:6" x14ac:dyDescent="0.3">
      <c r="A5" s="4" t="s">
        <v>46</v>
      </c>
      <c r="B5" s="10">
        <f>'Income Statement'!B17</f>
        <v>-136000</v>
      </c>
      <c r="C5" s="10">
        <f>'Income Statement'!C17</f>
        <v>-212800</v>
      </c>
      <c r="D5" s="10">
        <f>'Income Statement'!D17</f>
        <v>-316480</v>
      </c>
      <c r="E5" s="10">
        <f>'Income Statement'!E17</f>
        <v>-440896</v>
      </c>
      <c r="F5" s="10">
        <f>'Income Statement'!F17</f>
        <v>-581209.59999999963</v>
      </c>
    </row>
    <row r="6" spans="1:6" x14ac:dyDescent="0.3">
      <c r="A6" s="4" t="s">
        <v>50</v>
      </c>
      <c r="B6" s="10">
        <f>Assumptions!$B$22</f>
        <v>40000</v>
      </c>
      <c r="C6" s="10">
        <f>Assumptions!$B$22</f>
        <v>40000</v>
      </c>
      <c r="D6" s="10">
        <f>Assumptions!$B$22</f>
        <v>40000</v>
      </c>
      <c r="E6" s="10">
        <f>Assumptions!$B$22</f>
        <v>40000</v>
      </c>
      <c r="F6" s="10">
        <f>Assumptions!$B$22</f>
        <v>40000</v>
      </c>
    </row>
    <row r="7" spans="1:6" x14ac:dyDescent="0.3">
      <c r="A7" s="4" t="s">
        <v>51</v>
      </c>
      <c r="B7" s="10">
        <f>-'Balance Sheet'!B6</f>
        <v>-147945.20547945204</v>
      </c>
      <c r="C7" s="10">
        <f>-('Balance Sheet'!C6-'Balance Sheet'!B6)</f>
        <v>-118356.16438356164</v>
      </c>
      <c r="D7" s="10">
        <f>-('Balance Sheet'!D6-'Balance Sheet'!C6)</f>
        <v>-159780.82191780827</v>
      </c>
      <c r="E7" s="10">
        <f>-('Balance Sheet'!E6-'Balance Sheet'!D6)</f>
        <v>-191736.98630136991</v>
      </c>
      <c r="F7" s="10">
        <f>-('Balance Sheet'!F6-'Balance Sheet'!E6)</f>
        <v>-216236.71232876705</v>
      </c>
    </row>
    <row r="8" spans="1:6" x14ac:dyDescent="0.3">
      <c r="A8" s="4" t="s">
        <v>52</v>
      </c>
      <c r="B8" s="10">
        <f>'Balance Sheet'!B12</f>
        <v>24657.534246575342</v>
      </c>
      <c r="C8" s="10">
        <f>'Balance Sheet'!C12-'Balance Sheet'!B12</f>
        <v>19726.027397260274</v>
      </c>
      <c r="D8" s="10">
        <f>'Balance Sheet'!D12-'Balance Sheet'!C12</f>
        <v>26630.136986301375</v>
      </c>
      <c r="E8" s="10">
        <f>'Balance Sheet'!E12-'Balance Sheet'!D12</f>
        <v>31956.164383561641</v>
      </c>
      <c r="F8" s="10">
        <f>'Balance Sheet'!F12-'Balance Sheet'!E12</f>
        <v>36039.452054794499</v>
      </c>
    </row>
    <row r="9" spans="1:6" x14ac:dyDescent="0.3">
      <c r="A9" s="4" t="s">
        <v>53</v>
      </c>
      <c r="B9" s="10">
        <f>'Balance Sheet'!B13</f>
        <v>144000</v>
      </c>
      <c r="C9" s="10">
        <f>'Balance Sheet'!C13-'Balance Sheet'!B13</f>
        <v>115200</v>
      </c>
      <c r="D9" s="10">
        <f>'Balance Sheet'!D13-'Balance Sheet'!C13</f>
        <v>155520</v>
      </c>
      <c r="E9" s="10">
        <f>'Balance Sheet'!E13-'Balance Sheet'!D13</f>
        <v>186624</v>
      </c>
      <c r="F9" s="10">
        <f>'Balance Sheet'!F13-'Balance Sheet'!E13</f>
        <v>210470.40000000002</v>
      </c>
    </row>
    <row r="10" spans="1:6" x14ac:dyDescent="0.3">
      <c r="A10" s="11" t="s">
        <v>54</v>
      </c>
      <c r="B10" s="12">
        <f>SUM(B5:B9)</f>
        <v>-75287.671232876688</v>
      </c>
      <c r="C10" s="12">
        <f>SUM(C5:C9)</f>
        <v>-156230.1369863014</v>
      </c>
      <c r="D10" s="12">
        <f>SUM(D5:D9)</f>
        <v>-254110.68493150687</v>
      </c>
      <c r="E10" s="12">
        <f>SUM(E5:E9)</f>
        <v>-374052.82191780838</v>
      </c>
      <c r="F10" s="12">
        <f>SUM(F5:F9)</f>
        <v>-510936.46027397213</v>
      </c>
    </row>
    <row r="12" spans="1:6" x14ac:dyDescent="0.3">
      <c r="A12" s="4" t="s">
        <v>55</v>
      </c>
      <c r="B12" s="10">
        <f>-Assumptions!$B$21</f>
        <v>-60000</v>
      </c>
      <c r="C12" s="10">
        <f>-Assumptions!$B$21</f>
        <v>-60000</v>
      </c>
      <c r="D12" s="10">
        <f>-Assumptions!$B$21</f>
        <v>-60000</v>
      </c>
      <c r="E12" s="10">
        <f>-Assumptions!$B$21</f>
        <v>-60000</v>
      </c>
      <c r="F12" s="10">
        <f>-Assumptions!$B$21</f>
        <v>-60000</v>
      </c>
    </row>
    <row r="13" spans="1:6" x14ac:dyDescent="0.3">
      <c r="A13" s="11" t="s">
        <v>56</v>
      </c>
      <c r="B13" s="12">
        <f>B12</f>
        <v>-60000</v>
      </c>
      <c r="C13" s="12">
        <f>C12</f>
        <v>-60000</v>
      </c>
      <c r="D13" s="12">
        <f>D12</f>
        <v>-60000</v>
      </c>
      <c r="E13" s="12">
        <f>E12</f>
        <v>-60000</v>
      </c>
      <c r="F13" s="12">
        <f>F12</f>
        <v>-60000</v>
      </c>
    </row>
    <row r="15" spans="1:6" x14ac:dyDescent="0.3">
      <c r="A15" s="4" t="s">
        <v>57</v>
      </c>
      <c r="B15" s="10">
        <f>Assumptions!B28</f>
        <v>0</v>
      </c>
      <c r="C15" s="10">
        <f>Assumptions!B29</f>
        <v>6000000</v>
      </c>
      <c r="D15" s="10">
        <f>Assumptions!B30</f>
        <v>0</v>
      </c>
      <c r="E15" s="10">
        <f>Assumptions!B31</f>
        <v>0</v>
      </c>
      <c r="F15" s="10">
        <f>Assumptions!B32</f>
        <v>12000000</v>
      </c>
    </row>
    <row r="16" spans="1:6" x14ac:dyDescent="0.3">
      <c r="A16" s="11" t="s">
        <v>58</v>
      </c>
      <c r="B16" s="12">
        <f>B15</f>
        <v>0</v>
      </c>
      <c r="C16" s="12">
        <f>C15</f>
        <v>6000000</v>
      </c>
      <c r="D16" s="12">
        <f>D15</f>
        <v>0</v>
      </c>
      <c r="E16" s="12">
        <f>E15</f>
        <v>0</v>
      </c>
      <c r="F16" s="12">
        <f>F15</f>
        <v>12000000</v>
      </c>
    </row>
    <row r="18" spans="1:6" x14ac:dyDescent="0.3">
      <c r="A18" s="4" t="s">
        <v>59</v>
      </c>
      <c r="B18" s="10">
        <f>B10+B13+B16</f>
        <v>-135287.67123287669</v>
      </c>
      <c r="C18" s="10">
        <f>C10+C13+C16</f>
        <v>5783769.8630136987</v>
      </c>
      <c r="D18" s="10">
        <f>D10+D13+D16</f>
        <v>-314110.68493150687</v>
      </c>
      <c r="E18" s="10">
        <f>E10+E13+E16</f>
        <v>-434052.82191780838</v>
      </c>
      <c r="F18" s="10">
        <f>F10+F13+F16</f>
        <v>11429063.539726028</v>
      </c>
    </row>
    <row r="19" spans="1:6" x14ac:dyDescent="0.3">
      <c r="A19" s="4" t="s">
        <v>60</v>
      </c>
      <c r="B19" s="10">
        <f>Assumptions!B24</f>
        <v>2000000</v>
      </c>
      <c r="C19" s="10">
        <f>B20</f>
        <v>1864712.3287671234</v>
      </c>
      <c r="D19" s="10">
        <f>C20</f>
        <v>7648482.1917808224</v>
      </c>
      <c r="E19" s="10">
        <f>D20</f>
        <v>7334371.506849315</v>
      </c>
      <c r="F19" s="10">
        <f>E20</f>
        <v>6900318.6849315064</v>
      </c>
    </row>
    <row r="20" spans="1:6" x14ac:dyDescent="0.3">
      <c r="A20" s="11" t="s">
        <v>61</v>
      </c>
      <c r="B20" s="12">
        <f>B19+B18</f>
        <v>1864712.3287671234</v>
      </c>
      <c r="C20" s="12">
        <f>C19+C18</f>
        <v>7648482.1917808224</v>
      </c>
      <c r="D20" s="12">
        <f>D19+D18</f>
        <v>7334371.506849315</v>
      </c>
      <c r="E20" s="12">
        <f>E19+E18</f>
        <v>6900318.6849315064</v>
      </c>
      <c r="F20" s="12">
        <f>F19+F18</f>
        <v>18329382.224657536</v>
      </c>
    </row>
    <row r="23" spans="1:6" x14ac:dyDescent="0.3">
      <c r="A23" s="3" t="s">
        <v>28</v>
      </c>
    </row>
    <row r="24" spans="1:6" x14ac:dyDescent="0.3">
      <c r="A24" s="8" t="s">
        <v>29</v>
      </c>
    </row>
    <row r="25" spans="1:6" x14ac:dyDescent="0.3">
      <c r="A25" s="8" t="s">
        <v>30</v>
      </c>
    </row>
    <row r="26" spans="1:6" x14ac:dyDescent="0.3">
      <c r="A26" s="8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1A56D-D257-4A76-AE5E-7AF3E55B0DF3}">
  <dimension ref="A1:F24"/>
  <sheetViews>
    <sheetView topLeftCell="A6" workbookViewId="0">
      <selection activeCell="L8" sqref="L8"/>
    </sheetView>
  </sheetViews>
  <sheetFormatPr defaultRowHeight="14.4" x14ac:dyDescent="0.3"/>
  <cols>
    <col min="1" max="1" width="30.77734375" customWidth="1"/>
    <col min="2" max="6" width="14.77734375" customWidth="1"/>
  </cols>
  <sheetData>
    <row r="1" spans="1:6" ht="19.8" x14ac:dyDescent="0.4">
      <c r="A1" s="1" t="s">
        <v>62</v>
      </c>
    </row>
    <row r="2" spans="1:6" x14ac:dyDescent="0.3">
      <c r="A2" s="2" t="s">
        <v>63</v>
      </c>
    </row>
    <row r="4" spans="1:6" x14ac:dyDescent="0.3">
      <c r="A4" s="9" t="s">
        <v>34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</row>
    <row r="5" spans="1:6" x14ac:dyDescent="0.3">
      <c r="A5" s="3" t="s">
        <v>64</v>
      </c>
      <c r="B5" s="3"/>
      <c r="C5" s="3"/>
      <c r="D5" s="3"/>
      <c r="E5" s="3"/>
      <c r="F5" s="3"/>
    </row>
    <row r="6" spans="1:6" x14ac:dyDescent="0.3">
      <c r="A6" s="4" t="s">
        <v>65</v>
      </c>
      <c r="B6" s="10">
        <f>'Income Statement'!B5/365*Assumptions!$B$18</f>
        <v>147945.20547945204</v>
      </c>
      <c r="C6" s="10">
        <f>'Income Statement'!C5/365*Assumptions!$B$18</f>
        <v>266301.36986301368</v>
      </c>
      <c r="D6" s="10">
        <f>'Income Statement'!D5/365*Assumptions!$B$18</f>
        <v>426082.19178082194</v>
      </c>
      <c r="E6" s="10">
        <f>'Income Statement'!E5/365*Assumptions!$B$18</f>
        <v>617819.17808219185</v>
      </c>
      <c r="F6" s="10">
        <f>'Income Statement'!F5/365*Assumptions!$B$18</f>
        <v>834055.89041095891</v>
      </c>
    </row>
    <row r="7" spans="1:6" x14ac:dyDescent="0.3">
      <c r="A7" s="4" t="s">
        <v>66</v>
      </c>
      <c r="B7" s="10">
        <f>Assumptions!B21-Assumptions!B22</f>
        <v>20000</v>
      </c>
      <c r="C7" s="10">
        <f>B7+Assumptions!$B$21-Assumptions!$B$22</f>
        <v>40000</v>
      </c>
      <c r="D7" s="10">
        <f>C7+Assumptions!$B$21-Assumptions!$B$22</f>
        <v>60000</v>
      </c>
      <c r="E7" s="10">
        <f>D7+Assumptions!$B$21-Assumptions!$B$22</f>
        <v>80000</v>
      </c>
      <c r="F7" s="10">
        <f>E7+Assumptions!$B$21-Assumptions!$B$22</f>
        <v>100000</v>
      </c>
    </row>
    <row r="8" spans="1:6" x14ac:dyDescent="0.3">
      <c r="A8" s="4" t="s">
        <v>67</v>
      </c>
      <c r="B8" s="10">
        <f>'Cash Flow'!B20</f>
        <v>1864712.3287671234</v>
      </c>
      <c r="C8" s="10">
        <f>'Cash Flow'!C20</f>
        <v>7648482.1917808224</v>
      </c>
      <c r="D8" s="10">
        <f>'Cash Flow'!D20</f>
        <v>7334371.506849315</v>
      </c>
      <c r="E8" s="10">
        <f>'Cash Flow'!E20</f>
        <v>6900318.6849315064</v>
      </c>
      <c r="F8" s="10">
        <f>'Cash Flow'!F20</f>
        <v>18329382.224657536</v>
      </c>
    </row>
    <row r="9" spans="1:6" x14ac:dyDescent="0.3">
      <c r="A9" s="11" t="s">
        <v>68</v>
      </c>
      <c r="B9" s="12">
        <f>B6+B7+B8</f>
        <v>2032657.5342465756</v>
      </c>
      <c r="C9" s="12">
        <f>C6+C7+C8</f>
        <v>7954783.5616438361</v>
      </c>
      <c r="D9" s="12">
        <f>D6+D7+D8</f>
        <v>7820453.6986301374</v>
      </c>
      <c r="E9" s="12">
        <f>E6+E7+E8</f>
        <v>7598137.8630136978</v>
      </c>
      <c r="F9" s="12">
        <f>F6+F7+F8</f>
        <v>19263438.115068495</v>
      </c>
    </row>
    <row r="11" spans="1:6" x14ac:dyDescent="0.3">
      <c r="A11" s="3" t="s">
        <v>69</v>
      </c>
      <c r="B11" s="3"/>
      <c r="C11" s="3"/>
      <c r="D11" s="3"/>
      <c r="E11" s="3"/>
      <c r="F11" s="3"/>
    </row>
    <row r="12" spans="1:6" x14ac:dyDescent="0.3">
      <c r="A12" s="4" t="s">
        <v>70</v>
      </c>
      <c r="B12" s="10">
        <f>-'Income Statement'!B6/365*Assumptions!$B$19</f>
        <v>24657.534246575342</v>
      </c>
      <c r="C12" s="10">
        <f>-'Income Statement'!C6/365*Assumptions!$B$19</f>
        <v>44383.561643835616</v>
      </c>
      <c r="D12" s="10">
        <f>-'Income Statement'!D6/365*Assumptions!$B$19</f>
        <v>71013.698630136991</v>
      </c>
      <c r="E12" s="10">
        <f>-'Income Statement'!E6/365*Assumptions!$B$19</f>
        <v>102969.86301369863</v>
      </c>
      <c r="F12" s="10">
        <f>-'Income Statement'!F6/365*Assumptions!$B$19</f>
        <v>139009.31506849313</v>
      </c>
    </row>
    <row r="13" spans="1:6" x14ac:dyDescent="0.3">
      <c r="A13" s="4" t="s">
        <v>71</v>
      </c>
      <c r="B13" s="10">
        <f>'Income Statement'!B5*Assumptions!$B$20</f>
        <v>144000</v>
      </c>
      <c r="C13" s="10">
        <f>'Income Statement'!C5*Assumptions!$B$20</f>
        <v>259200</v>
      </c>
      <c r="D13" s="10">
        <f>'Income Statement'!D5*Assumptions!$B$20</f>
        <v>414720</v>
      </c>
      <c r="E13" s="10">
        <f>'Income Statement'!E5*Assumptions!$B$20</f>
        <v>601344</v>
      </c>
      <c r="F13" s="10">
        <f>'Income Statement'!F5*Assumptions!$B$20</f>
        <v>811814.40000000002</v>
      </c>
    </row>
    <row r="14" spans="1:6" x14ac:dyDescent="0.3">
      <c r="A14" s="4" t="s">
        <v>72</v>
      </c>
      <c r="B14" s="10">
        <f>Assumptions!B25+Assumptions!B28</f>
        <v>2000000</v>
      </c>
      <c r="C14" s="10">
        <f>B14+Assumptions!$B$29</f>
        <v>8000000</v>
      </c>
      <c r="D14" s="10">
        <f>C14+Assumptions!$B$30</f>
        <v>8000000</v>
      </c>
      <c r="E14" s="10">
        <f>D14+Assumptions!$B$31</f>
        <v>8000000</v>
      </c>
      <c r="F14" s="10">
        <f>E14+Assumptions!$B$32</f>
        <v>20000000</v>
      </c>
    </row>
    <row r="15" spans="1:6" x14ac:dyDescent="0.3">
      <c r="A15" s="4" t="s">
        <v>73</v>
      </c>
      <c r="B15" s="10">
        <f>'Income Statement'!B17</f>
        <v>-136000</v>
      </c>
      <c r="C15" s="10">
        <f>B15+'Income Statement'!C17</f>
        <v>-348800</v>
      </c>
      <c r="D15" s="10">
        <f>C15+'Income Statement'!D17</f>
        <v>-665280</v>
      </c>
      <c r="E15" s="10">
        <f>D15+'Income Statement'!E17</f>
        <v>-1106176</v>
      </c>
      <c r="F15" s="10">
        <f>E15+'Income Statement'!F17</f>
        <v>-1687385.5999999996</v>
      </c>
    </row>
    <row r="16" spans="1:6" x14ac:dyDescent="0.3">
      <c r="A16" s="11" t="s">
        <v>74</v>
      </c>
      <c r="B16" s="12">
        <f>SUM(B12:B15)</f>
        <v>2032657.5342465756</v>
      </c>
      <c r="C16" s="12">
        <f>SUM(C12:C15)</f>
        <v>7954783.5616438352</v>
      </c>
      <c r="D16" s="12">
        <f>SUM(D12:D15)</f>
        <v>7820453.6986301374</v>
      </c>
      <c r="E16" s="12">
        <f>SUM(E12:E15)</f>
        <v>7598137.8630136978</v>
      </c>
      <c r="F16" s="12">
        <f>SUM(F12:F15)</f>
        <v>19263438.115068495</v>
      </c>
    </row>
    <row r="18" spans="1:6" x14ac:dyDescent="0.3">
      <c r="A18" s="4" t="s">
        <v>75</v>
      </c>
      <c r="B18" s="10">
        <f>B9-B16</f>
        <v>0</v>
      </c>
      <c r="C18" s="10">
        <f>C9-C16</f>
        <v>0</v>
      </c>
      <c r="D18" s="10">
        <f>D9-D16</f>
        <v>0</v>
      </c>
      <c r="E18" s="10">
        <f>E9-E16</f>
        <v>0</v>
      </c>
      <c r="F18" s="10">
        <f>F9-F16</f>
        <v>0</v>
      </c>
    </row>
    <row r="21" spans="1:6" x14ac:dyDescent="0.3">
      <c r="A21" s="3" t="s">
        <v>28</v>
      </c>
    </row>
    <row r="22" spans="1:6" x14ac:dyDescent="0.3">
      <c r="A22" s="8" t="s">
        <v>29</v>
      </c>
    </row>
    <row r="23" spans="1:6" x14ac:dyDescent="0.3">
      <c r="A23" s="8" t="s">
        <v>30</v>
      </c>
    </row>
    <row r="24" spans="1:6" x14ac:dyDescent="0.3">
      <c r="A24" s="8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39D74-14B2-4046-9255-B0CE18E7E7AF}">
  <dimension ref="A1:BI32"/>
  <sheetViews>
    <sheetView tabSelected="1" workbookViewId="0">
      <selection activeCell="F42" sqref="F42"/>
    </sheetView>
  </sheetViews>
  <sheetFormatPr defaultRowHeight="14.4" outlineLevelRow="1" x14ac:dyDescent="0.3"/>
  <cols>
    <col min="1" max="1" width="27.77734375" customWidth="1"/>
    <col min="2" max="63" width="10.77734375" customWidth="1"/>
  </cols>
  <sheetData>
    <row r="1" spans="1:61" ht="19.8" x14ac:dyDescent="0.4">
      <c r="A1" s="1" t="s">
        <v>76</v>
      </c>
    </row>
    <row r="2" spans="1:61" x14ac:dyDescent="0.3">
      <c r="A2" s="2" t="s">
        <v>77</v>
      </c>
    </row>
    <row r="4" spans="1:61" x14ac:dyDescent="0.3">
      <c r="A4" s="3" t="s">
        <v>78</v>
      </c>
      <c r="B4" s="15"/>
    </row>
    <row r="5" spans="1:61" x14ac:dyDescent="0.3">
      <c r="A5" s="4" t="s">
        <v>79</v>
      </c>
      <c r="B5" s="16">
        <v>0.02</v>
      </c>
    </row>
    <row r="6" spans="1:61" x14ac:dyDescent="0.3">
      <c r="A6" s="4" t="s">
        <v>80</v>
      </c>
      <c r="B6" s="17">
        <v>45658</v>
      </c>
    </row>
    <row r="7" spans="1:61" x14ac:dyDescent="0.3">
      <c r="A7" s="8" t="s">
        <v>81</v>
      </c>
    </row>
    <row r="8" spans="1:61" x14ac:dyDescent="0.3">
      <c r="A8" s="9" t="s">
        <v>82</v>
      </c>
      <c r="B8" s="24">
        <f>$B$6</f>
        <v>45658</v>
      </c>
      <c r="C8" s="24">
        <f>EDATE(B8,1)</f>
        <v>45689</v>
      </c>
      <c r="D8" s="24">
        <f t="shared" ref="D8:BI8" si="0">EDATE(C8,1)</f>
        <v>45717</v>
      </c>
      <c r="E8" s="24">
        <f t="shared" si="0"/>
        <v>45748</v>
      </c>
      <c r="F8" s="24">
        <f t="shared" si="0"/>
        <v>45778</v>
      </c>
      <c r="G8" s="24">
        <f t="shared" si="0"/>
        <v>45809</v>
      </c>
      <c r="H8" s="24">
        <f t="shared" si="0"/>
        <v>45839</v>
      </c>
      <c r="I8" s="24">
        <f t="shared" si="0"/>
        <v>45870</v>
      </c>
      <c r="J8" s="24">
        <f t="shared" si="0"/>
        <v>45901</v>
      </c>
      <c r="K8" s="24">
        <f t="shared" si="0"/>
        <v>45931</v>
      </c>
      <c r="L8" s="24">
        <f t="shared" si="0"/>
        <v>45962</v>
      </c>
      <c r="M8" s="24">
        <f t="shared" si="0"/>
        <v>45992</v>
      </c>
      <c r="N8" s="24">
        <f t="shared" si="0"/>
        <v>46023</v>
      </c>
      <c r="O8" s="24">
        <f t="shared" si="0"/>
        <v>46054</v>
      </c>
      <c r="P8" s="24">
        <f t="shared" si="0"/>
        <v>46082</v>
      </c>
      <c r="Q8" s="24">
        <f t="shared" si="0"/>
        <v>46113</v>
      </c>
      <c r="R8" s="24">
        <f t="shared" si="0"/>
        <v>46143</v>
      </c>
      <c r="S8" s="24">
        <f t="shared" si="0"/>
        <v>46174</v>
      </c>
      <c r="T8" s="24">
        <f t="shared" si="0"/>
        <v>46204</v>
      </c>
      <c r="U8" s="24">
        <f t="shared" si="0"/>
        <v>46235</v>
      </c>
      <c r="V8" s="24">
        <f t="shared" si="0"/>
        <v>46266</v>
      </c>
      <c r="W8" s="24">
        <f t="shared" si="0"/>
        <v>46296</v>
      </c>
      <c r="X8" s="24">
        <f t="shared" si="0"/>
        <v>46327</v>
      </c>
      <c r="Y8" s="24">
        <f t="shared" si="0"/>
        <v>46357</v>
      </c>
      <c r="Z8" s="24">
        <f t="shared" si="0"/>
        <v>46388</v>
      </c>
      <c r="AA8" s="24">
        <f t="shared" si="0"/>
        <v>46419</v>
      </c>
      <c r="AB8" s="24">
        <f t="shared" si="0"/>
        <v>46447</v>
      </c>
      <c r="AC8" s="24">
        <f t="shared" si="0"/>
        <v>46478</v>
      </c>
      <c r="AD8" s="24">
        <f t="shared" si="0"/>
        <v>46508</v>
      </c>
      <c r="AE8" s="24">
        <f t="shared" si="0"/>
        <v>46539</v>
      </c>
      <c r="AF8" s="24">
        <f t="shared" si="0"/>
        <v>46569</v>
      </c>
      <c r="AG8" s="24">
        <f t="shared" si="0"/>
        <v>46600</v>
      </c>
      <c r="AH8" s="24">
        <f t="shared" si="0"/>
        <v>46631</v>
      </c>
      <c r="AI8" s="24">
        <f t="shared" si="0"/>
        <v>46661</v>
      </c>
      <c r="AJ8" s="24">
        <f t="shared" si="0"/>
        <v>46692</v>
      </c>
      <c r="AK8" s="24">
        <f t="shared" si="0"/>
        <v>46722</v>
      </c>
      <c r="AL8" s="24">
        <f t="shared" si="0"/>
        <v>46753</v>
      </c>
      <c r="AM8" s="24">
        <f t="shared" si="0"/>
        <v>46784</v>
      </c>
      <c r="AN8" s="24">
        <f t="shared" si="0"/>
        <v>46813</v>
      </c>
      <c r="AO8" s="24">
        <f t="shared" si="0"/>
        <v>46844</v>
      </c>
      <c r="AP8" s="24">
        <f t="shared" si="0"/>
        <v>46874</v>
      </c>
      <c r="AQ8" s="24">
        <f t="shared" si="0"/>
        <v>46905</v>
      </c>
      <c r="AR8" s="24">
        <f t="shared" si="0"/>
        <v>46935</v>
      </c>
      <c r="AS8" s="24">
        <f t="shared" si="0"/>
        <v>46966</v>
      </c>
      <c r="AT8" s="24">
        <f t="shared" si="0"/>
        <v>46997</v>
      </c>
      <c r="AU8" s="24">
        <f t="shared" si="0"/>
        <v>47027</v>
      </c>
      <c r="AV8" s="24">
        <f t="shared" si="0"/>
        <v>47058</v>
      </c>
      <c r="AW8" s="24">
        <f t="shared" si="0"/>
        <v>47088</v>
      </c>
      <c r="AX8" s="24">
        <f t="shared" si="0"/>
        <v>47119</v>
      </c>
      <c r="AY8" s="24">
        <f t="shared" si="0"/>
        <v>47150</v>
      </c>
      <c r="AZ8" s="24">
        <f t="shared" si="0"/>
        <v>47178</v>
      </c>
      <c r="BA8" s="24">
        <f t="shared" si="0"/>
        <v>47209</v>
      </c>
      <c r="BB8" s="24">
        <f t="shared" si="0"/>
        <v>47239</v>
      </c>
      <c r="BC8" s="24">
        <f t="shared" si="0"/>
        <v>47270</v>
      </c>
      <c r="BD8" s="24">
        <f t="shared" si="0"/>
        <v>47300</v>
      </c>
      <c r="BE8" s="24">
        <f t="shared" si="0"/>
        <v>47331</v>
      </c>
      <c r="BF8" s="24">
        <f t="shared" si="0"/>
        <v>47362</v>
      </c>
      <c r="BG8" s="24">
        <f t="shared" si="0"/>
        <v>47392</v>
      </c>
      <c r="BH8" s="24">
        <f t="shared" si="0"/>
        <v>47423</v>
      </c>
      <c r="BI8" s="24">
        <f t="shared" si="0"/>
        <v>47453</v>
      </c>
    </row>
    <row r="9" spans="1:61" outlineLevel="1" x14ac:dyDescent="0.3">
      <c r="A9" s="18" t="s">
        <v>83</v>
      </c>
      <c r="B9" s="25">
        <f>ROUNDUP((COLUMN()-1)/12,0)</f>
        <v>1</v>
      </c>
      <c r="C9" s="25">
        <f>ROUNDUP((COLUMN()-1)/12,0)</f>
        <v>1</v>
      </c>
      <c r="D9" s="25">
        <f t="shared" ref="D9:BI9" si="1">ROUNDUP((COLUMN()-1)/12,0)</f>
        <v>1</v>
      </c>
      <c r="E9" s="25">
        <f t="shared" si="1"/>
        <v>1</v>
      </c>
      <c r="F9" s="25">
        <f t="shared" si="1"/>
        <v>1</v>
      </c>
      <c r="G9" s="25">
        <f t="shared" si="1"/>
        <v>1</v>
      </c>
      <c r="H9" s="25">
        <f t="shared" si="1"/>
        <v>1</v>
      </c>
      <c r="I9" s="25">
        <f t="shared" si="1"/>
        <v>1</v>
      </c>
      <c r="J9" s="25">
        <f t="shared" si="1"/>
        <v>1</v>
      </c>
      <c r="K9" s="25">
        <f t="shared" si="1"/>
        <v>1</v>
      </c>
      <c r="L9" s="25">
        <f t="shared" si="1"/>
        <v>1</v>
      </c>
      <c r="M9" s="25">
        <f t="shared" si="1"/>
        <v>1</v>
      </c>
      <c r="N9" s="25">
        <f t="shared" si="1"/>
        <v>2</v>
      </c>
      <c r="O9" s="25">
        <f t="shared" si="1"/>
        <v>2</v>
      </c>
      <c r="P9" s="25">
        <f t="shared" si="1"/>
        <v>2</v>
      </c>
      <c r="Q9" s="25">
        <f t="shared" si="1"/>
        <v>2</v>
      </c>
      <c r="R9" s="25">
        <f t="shared" si="1"/>
        <v>2</v>
      </c>
      <c r="S9" s="25">
        <f t="shared" si="1"/>
        <v>2</v>
      </c>
      <c r="T9" s="25">
        <f t="shared" si="1"/>
        <v>2</v>
      </c>
      <c r="U9" s="25">
        <f t="shared" si="1"/>
        <v>2</v>
      </c>
      <c r="V9" s="25">
        <f t="shared" si="1"/>
        <v>2</v>
      </c>
      <c r="W9" s="25">
        <f t="shared" si="1"/>
        <v>2</v>
      </c>
      <c r="X9" s="25">
        <f t="shared" si="1"/>
        <v>2</v>
      </c>
      <c r="Y9" s="25">
        <f t="shared" si="1"/>
        <v>2</v>
      </c>
      <c r="Z9" s="25">
        <f t="shared" si="1"/>
        <v>3</v>
      </c>
      <c r="AA9" s="25">
        <f t="shared" si="1"/>
        <v>3</v>
      </c>
      <c r="AB9" s="25">
        <f t="shared" si="1"/>
        <v>3</v>
      </c>
      <c r="AC9" s="25">
        <f t="shared" si="1"/>
        <v>3</v>
      </c>
      <c r="AD9" s="25">
        <f t="shared" si="1"/>
        <v>3</v>
      </c>
      <c r="AE9" s="25">
        <f t="shared" si="1"/>
        <v>3</v>
      </c>
      <c r="AF9" s="25">
        <f t="shared" si="1"/>
        <v>3</v>
      </c>
      <c r="AG9" s="25">
        <f t="shared" si="1"/>
        <v>3</v>
      </c>
      <c r="AH9" s="25">
        <f t="shared" si="1"/>
        <v>3</v>
      </c>
      <c r="AI9" s="25">
        <f t="shared" si="1"/>
        <v>3</v>
      </c>
      <c r="AJ9" s="25">
        <f t="shared" si="1"/>
        <v>3</v>
      </c>
      <c r="AK9" s="25">
        <f t="shared" si="1"/>
        <v>3</v>
      </c>
      <c r="AL9" s="25">
        <f t="shared" si="1"/>
        <v>4</v>
      </c>
      <c r="AM9" s="25">
        <f t="shared" si="1"/>
        <v>4</v>
      </c>
      <c r="AN9" s="25">
        <f t="shared" si="1"/>
        <v>4</v>
      </c>
      <c r="AO9" s="25">
        <f t="shared" si="1"/>
        <v>4</v>
      </c>
      <c r="AP9" s="25">
        <f t="shared" si="1"/>
        <v>4</v>
      </c>
      <c r="AQ9" s="25">
        <f t="shared" si="1"/>
        <v>4</v>
      </c>
      <c r="AR9" s="25">
        <f t="shared" si="1"/>
        <v>4</v>
      </c>
      <c r="AS9" s="25">
        <f t="shared" si="1"/>
        <v>4</v>
      </c>
      <c r="AT9" s="25">
        <f t="shared" si="1"/>
        <v>4</v>
      </c>
      <c r="AU9" s="25">
        <f t="shared" si="1"/>
        <v>4</v>
      </c>
      <c r="AV9" s="25">
        <f t="shared" si="1"/>
        <v>4</v>
      </c>
      <c r="AW9" s="25">
        <f t="shared" si="1"/>
        <v>4</v>
      </c>
      <c r="AX9" s="25">
        <f t="shared" si="1"/>
        <v>5</v>
      </c>
      <c r="AY9" s="25">
        <f t="shared" si="1"/>
        <v>5</v>
      </c>
      <c r="AZ9" s="25">
        <f t="shared" si="1"/>
        <v>5</v>
      </c>
      <c r="BA9" s="25">
        <f t="shared" si="1"/>
        <v>5</v>
      </c>
      <c r="BB9" s="25">
        <f t="shared" si="1"/>
        <v>5</v>
      </c>
      <c r="BC9" s="25">
        <f t="shared" si="1"/>
        <v>5</v>
      </c>
      <c r="BD9" s="25">
        <f t="shared" si="1"/>
        <v>5</v>
      </c>
      <c r="BE9" s="25">
        <f t="shared" si="1"/>
        <v>5</v>
      </c>
      <c r="BF9" s="25">
        <f t="shared" si="1"/>
        <v>5</v>
      </c>
      <c r="BG9" s="25">
        <f t="shared" si="1"/>
        <v>5</v>
      </c>
      <c r="BH9" s="25">
        <f t="shared" si="1"/>
        <v>5</v>
      </c>
      <c r="BI9" s="25">
        <f t="shared" si="1"/>
        <v>5</v>
      </c>
    </row>
    <row r="10" spans="1:61" outlineLevel="1" x14ac:dyDescent="0.3">
      <c r="A10" s="18" t="s">
        <v>84</v>
      </c>
      <c r="B10" s="25">
        <f>(COLUMN()-1)-(B$9-1)*12</f>
        <v>1</v>
      </c>
      <c r="C10" s="25">
        <f>(COLUMN()-1)-(C$9-1)*12</f>
        <v>2</v>
      </c>
      <c r="D10" s="25">
        <f t="shared" ref="D10:BI10" si="2">(COLUMN()-1)-(D$9-1)*12</f>
        <v>3</v>
      </c>
      <c r="E10" s="25">
        <f t="shared" si="2"/>
        <v>4</v>
      </c>
      <c r="F10" s="25">
        <f t="shared" si="2"/>
        <v>5</v>
      </c>
      <c r="G10" s="25">
        <f t="shared" si="2"/>
        <v>6</v>
      </c>
      <c r="H10" s="25">
        <f t="shared" si="2"/>
        <v>7</v>
      </c>
      <c r="I10" s="25">
        <f t="shared" si="2"/>
        <v>8</v>
      </c>
      <c r="J10" s="25">
        <f t="shared" si="2"/>
        <v>9</v>
      </c>
      <c r="K10" s="25">
        <f t="shared" si="2"/>
        <v>10</v>
      </c>
      <c r="L10" s="25">
        <f t="shared" si="2"/>
        <v>11</v>
      </c>
      <c r="M10" s="25">
        <f t="shared" si="2"/>
        <v>12</v>
      </c>
      <c r="N10" s="25">
        <f t="shared" si="2"/>
        <v>1</v>
      </c>
      <c r="O10" s="25">
        <f t="shared" si="2"/>
        <v>2</v>
      </c>
      <c r="P10" s="25">
        <f t="shared" si="2"/>
        <v>3</v>
      </c>
      <c r="Q10" s="25">
        <f t="shared" si="2"/>
        <v>4</v>
      </c>
      <c r="R10" s="25">
        <f t="shared" si="2"/>
        <v>5</v>
      </c>
      <c r="S10" s="25">
        <f t="shared" si="2"/>
        <v>6</v>
      </c>
      <c r="T10" s="25">
        <f t="shared" si="2"/>
        <v>7</v>
      </c>
      <c r="U10" s="25">
        <f t="shared" si="2"/>
        <v>8</v>
      </c>
      <c r="V10" s="25">
        <f t="shared" si="2"/>
        <v>9</v>
      </c>
      <c r="W10" s="25">
        <f t="shared" si="2"/>
        <v>10</v>
      </c>
      <c r="X10" s="25">
        <f t="shared" si="2"/>
        <v>11</v>
      </c>
      <c r="Y10" s="25">
        <f t="shared" si="2"/>
        <v>12</v>
      </c>
      <c r="Z10" s="25">
        <f t="shared" si="2"/>
        <v>1</v>
      </c>
      <c r="AA10" s="25">
        <f t="shared" si="2"/>
        <v>2</v>
      </c>
      <c r="AB10" s="25">
        <f t="shared" si="2"/>
        <v>3</v>
      </c>
      <c r="AC10" s="25">
        <f t="shared" si="2"/>
        <v>4</v>
      </c>
      <c r="AD10" s="25">
        <f t="shared" si="2"/>
        <v>5</v>
      </c>
      <c r="AE10" s="25">
        <f t="shared" si="2"/>
        <v>6</v>
      </c>
      <c r="AF10" s="25">
        <f t="shared" si="2"/>
        <v>7</v>
      </c>
      <c r="AG10" s="25">
        <f t="shared" si="2"/>
        <v>8</v>
      </c>
      <c r="AH10" s="25">
        <f t="shared" si="2"/>
        <v>9</v>
      </c>
      <c r="AI10" s="25">
        <f t="shared" si="2"/>
        <v>10</v>
      </c>
      <c r="AJ10" s="25">
        <f t="shared" si="2"/>
        <v>11</v>
      </c>
      <c r="AK10" s="25">
        <f t="shared" si="2"/>
        <v>12</v>
      </c>
      <c r="AL10" s="25">
        <f t="shared" si="2"/>
        <v>1</v>
      </c>
      <c r="AM10" s="25">
        <f t="shared" si="2"/>
        <v>2</v>
      </c>
      <c r="AN10" s="25">
        <f t="shared" si="2"/>
        <v>3</v>
      </c>
      <c r="AO10" s="25">
        <f t="shared" si="2"/>
        <v>4</v>
      </c>
      <c r="AP10" s="25">
        <f t="shared" si="2"/>
        <v>5</v>
      </c>
      <c r="AQ10" s="25">
        <f t="shared" si="2"/>
        <v>6</v>
      </c>
      <c r="AR10" s="25">
        <f t="shared" si="2"/>
        <v>7</v>
      </c>
      <c r="AS10" s="25">
        <f t="shared" si="2"/>
        <v>8</v>
      </c>
      <c r="AT10" s="25">
        <f t="shared" si="2"/>
        <v>9</v>
      </c>
      <c r="AU10" s="25">
        <f t="shared" si="2"/>
        <v>10</v>
      </c>
      <c r="AV10" s="25">
        <f t="shared" si="2"/>
        <v>11</v>
      </c>
      <c r="AW10" s="25">
        <f t="shared" si="2"/>
        <v>12</v>
      </c>
      <c r="AX10" s="25">
        <f t="shared" si="2"/>
        <v>1</v>
      </c>
      <c r="AY10" s="25">
        <f t="shared" si="2"/>
        <v>2</v>
      </c>
      <c r="AZ10" s="25">
        <f t="shared" si="2"/>
        <v>3</v>
      </c>
      <c r="BA10" s="25">
        <f t="shared" si="2"/>
        <v>4</v>
      </c>
      <c r="BB10" s="25">
        <f t="shared" si="2"/>
        <v>5</v>
      </c>
      <c r="BC10" s="25">
        <f t="shared" si="2"/>
        <v>6</v>
      </c>
      <c r="BD10" s="25">
        <f t="shared" si="2"/>
        <v>7</v>
      </c>
      <c r="BE10" s="25">
        <f t="shared" si="2"/>
        <v>8</v>
      </c>
      <c r="BF10" s="25">
        <f t="shared" si="2"/>
        <v>9</v>
      </c>
      <c r="BG10" s="25">
        <f t="shared" si="2"/>
        <v>10</v>
      </c>
      <c r="BH10" s="25">
        <f t="shared" si="2"/>
        <v>11</v>
      </c>
      <c r="BI10" s="25">
        <f t="shared" si="2"/>
        <v>12</v>
      </c>
    </row>
    <row r="11" spans="1:61" x14ac:dyDescent="0.3">
      <c r="A11" s="4" t="s">
        <v>35</v>
      </c>
      <c r="B11" s="19" cm="1">
        <f t="array" ref="B11">IF($B$5=0,INDEX('Income Statement'!$B$5:$F$5,B$9)/12,INDEX('Income Statement'!$B$5:$F$5,B$9)*(1+$B$5)^(B$10-1)*$B$5/((1+$B$5)^12-1))</f>
        <v>89471.515947541804</v>
      </c>
      <c r="C11" s="19" cm="1">
        <f t="array" ref="C11">IF($B$5=0,INDEX('Income Statement'!$B$5:$F$5,C$9)/12,INDEX('Income Statement'!$B$5:$F$5,C$9)*(1+$B$5)^(C$10-1)*$B$5/((1+$B$5)^12-1))</f>
        <v>91260.94626649264</v>
      </c>
      <c r="D11" s="19" cm="1">
        <f t="array" ref="D11">IF($B$5=0,INDEX('Income Statement'!$B$5:$F$5,D$9)/12,INDEX('Income Statement'!$B$5:$F$5,D$9)*(1+$B$5)^(D$10-1)*$B$5/((1+$B$5)^12-1))</f>
        <v>93086.165191822496</v>
      </c>
      <c r="E11" s="19" cm="1">
        <f t="array" ref="E11">IF($B$5=0,INDEX('Income Statement'!$B$5:$F$5,E$9)/12,INDEX('Income Statement'!$B$5:$F$5,E$9)*(1+$B$5)^(E$10-1)*$B$5/((1+$B$5)^12-1))</f>
        <v>94947.888495658932</v>
      </c>
      <c r="F11" s="19" cm="1">
        <f t="array" ref="F11">IF($B$5=0,INDEX('Income Statement'!$B$5:$F$5,F$9)/12,INDEX('Income Statement'!$B$5:$F$5,F$9)*(1+$B$5)^(F$10-1)*$B$5/((1+$B$5)^12-1))</f>
        <v>96846.846265572123</v>
      </c>
      <c r="G11" s="19" cm="1">
        <f t="array" ref="G11">IF($B$5=0,INDEX('Income Statement'!$B$5:$F$5,G$9)/12,INDEX('Income Statement'!$B$5:$F$5,G$9)*(1+$B$5)^(G$10-1)*$B$5/((1+$B$5)^12-1))</f>
        <v>98783.783190883565</v>
      </c>
      <c r="H11" s="19" cm="1">
        <f t="array" ref="H11">IF($B$5=0,INDEX('Income Statement'!$B$5:$F$5,H$9)/12,INDEX('Income Statement'!$B$5:$F$5,H$9)*(1+$B$5)^(H$10-1)*$B$5/((1+$B$5)^12-1))</f>
        <v>100759.45885470124</v>
      </c>
      <c r="I11" s="19" cm="1">
        <f t="array" ref="I11">IF($B$5=0,INDEX('Income Statement'!$B$5:$F$5,I$9)/12,INDEX('Income Statement'!$B$5:$F$5,I$9)*(1+$B$5)^(I$10-1)*$B$5/((1+$B$5)^12-1))</f>
        <v>102774.64803179524</v>
      </c>
      <c r="J11" s="19" cm="1">
        <f t="array" ref="J11">IF($B$5=0,INDEX('Income Statement'!$B$5:$F$5,J$9)/12,INDEX('Income Statement'!$B$5:$F$5,J$9)*(1+$B$5)^(J$10-1)*$B$5/((1+$B$5)^12-1))</f>
        <v>104830.14099243114</v>
      </c>
      <c r="K11" s="19" cm="1">
        <f t="array" ref="K11">IF($B$5=0,INDEX('Income Statement'!$B$5:$F$5,K$9)/12,INDEX('Income Statement'!$B$5:$F$5,K$9)*(1+$B$5)^(K$10-1)*$B$5/((1+$B$5)^12-1))</f>
        <v>106926.74381227978</v>
      </c>
      <c r="L11" s="19" cm="1">
        <f t="array" ref="L11">IF($B$5=0,INDEX('Income Statement'!$B$5:$F$5,L$9)/12,INDEX('Income Statement'!$B$5:$F$5,L$9)*(1+$B$5)^(L$10-1)*$B$5/((1+$B$5)^12-1))</f>
        <v>109065.27868852537</v>
      </c>
      <c r="M11" s="19" cm="1">
        <f t="array" ref="M11">IF($B$5=0,INDEX('Income Statement'!$B$5:$F$5,M$9)/12,INDEX('Income Statement'!$B$5:$F$5,M$9)*(1+$B$5)^(M$10-1)*$B$5/((1+$B$5)^12-1))</f>
        <v>111246.58426229586</v>
      </c>
      <c r="N11" s="19" cm="1">
        <f t="array" ref="N11">IF($B$5=0,INDEX('Income Statement'!$B$5:$F$5,N$9)/12,INDEX('Income Statement'!$B$5:$F$5,N$9)*(1+$B$5)^(N$10-1)*$B$5/((1+$B$5)^12-1))</f>
        <v>161048.72870557525</v>
      </c>
      <c r="O11" s="19" cm="1">
        <f t="array" ref="O11">IF($B$5=0,INDEX('Income Statement'!$B$5:$F$5,O$9)/12,INDEX('Income Statement'!$B$5:$F$5,O$9)*(1+$B$5)^(O$10-1)*$B$5/((1+$B$5)^12-1))</f>
        <v>164269.70327968674</v>
      </c>
      <c r="P11" s="19" cm="1">
        <f t="array" ref="P11">IF($B$5=0,INDEX('Income Statement'!$B$5:$F$5,P$9)/12,INDEX('Income Statement'!$B$5:$F$5,P$9)*(1+$B$5)^(P$10-1)*$B$5/((1+$B$5)^12-1))</f>
        <v>167555.09734528046</v>
      </c>
      <c r="Q11" s="19" cm="1">
        <f t="array" ref="Q11">IF($B$5=0,INDEX('Income Statement'!$B$5:$F$5,Q$9)/12,INDEX('Income Statement'!$B$5:$F$5,Q$9)*(1+$B$5)^(Q$10-1)*$B$5/((1+$B$5)^12-1))</f>
        <v>170906.19929218607</v>
      </c>
      <c r="R11" s="19" cm="1">
        <f t="array" ref="R11">IF($B$5=0,INDEX('Income Statement'!$B$5:$F$5,R$9)/12,INDEX('Income Statement'!$B$5:$F$5,R$9)*(1+$B$5)^(R$10-1)*$B$5/((1+$B$5)^12-1))</f>
        <v>174324.3232780298</v>
      </c>
      <c r="S11" s="19" cm="1">
        <f t="array" ref="S11">IF($B$5=0,INDEX('Income Statement'!$B$5:$F$5,S$9)/12,INDEX('Income Statement'!$B$5:$F$5,S$9)*(1+$B$5)^(S$10-1)*$B$5/((1+$B$5)^12-1))</f>
        <v>177810.80974359042</v>
      </c>
      <c r="T11" s="19" cm="1">
        <f t="array" ref="T11">IF($B$5=0,INDEX('Income Statement'!$B$5:$F$5,T$9)/12,INDEX('Income Statement'!$B$5:$F$5,T$9)*(1+$B$5)^(T$10-1)*$B$5/((1+$B$5)^12-1))</f>
        <v>181367.02593846223</v>
      </c>
      <c r="U11" s="19" cm="1">
        <f t="array" ref="U11">IF($B$5=0,INDEX('Income Statement'!$B$5:$F$5,U$9)/12,INDEX('Income Statement'!$B$5:$F$5,U$9)*(1+$B$5)^(U$10-1)*$B$5/((1+$B$5)^12-1))</f>
        <v>184994.36645723146</v>
      </c>
      <c r="V11" s="19" cm="1">
        <f t="array" ref="V11">IF($B$5=0,INDEX('Income Statement'!$B$5:$F$5,V$9)/12,INDEX('Income Statement'!$B$5:$F$5,V$9)*(1+$B$5)^(V$10-1)*$B$5/((1+$B$5)^12-1))</f>
        <v>188694.2537863761</v>
      </c>
      <c r="W11" s="19" cm="1">
        <f t="array" ref="W11">IF($B$5=0,INDEX('Income Statement'!$B$5:$F$5,W$9)/12,INDEX('Income Statement'!$B$5:$F$5,W$9)*(1+$B$5)^(W$10-1)*$B$5/((1+$B$5)^12-1))</f>
        <v>192468.13886210363</v>
      </c>
      <c r="X11" s="19" cm="1">
        <f t="array" ref="X11">IF($B$5=0,INDEX('Income Statement'!$B$5:$F$5,X$9)/12,INDEX('Income Statement'!$B$5:$F$5,X$9)*(1+$B$5)^(X$10-1)*$B$5/((1+$B$5)^12-1))</f>
        <v>196317.50163934569</v>
      </c>
      <c r="Y11" s="19" cm="1">
        <f t="array" ref="Y11">IF($B$5=0,INDEX('Income Statement'!$B$5:$F$5,Y$9)/12,INDEX('Income Statement'!$B$5:$F$5,Y$9)*(1+$B$5)^(Y$10-1)*$B$5/((1+$B$5)^12-1))</f>
        <v>200243.85167213259</v>
      </c>
      <c r="Z11" s="19" cm="1">
        <f t="array" ref="Z11">IF($B$5=0,INDEX('Income Statement'!$B$5:$F$5,Z$9)/12,INDEX('Income Statement'!$B$5:$F$5,Z$9)*(1+$B$5)^(Z$10-1)*$B$5/((1+$B$5)^12-1))</f>
        <v>257677.96592892037</v>
      </c>
      <c r="AA11" s="19" cm="1">
        <f t="array" ref="AA11">IF($B$5=0,INDEX('Income Statement'!$B$5:$F$5,AA$9)/12,INDEX('Income Statement'!$B$5:$F$5,AA$9)*(1+$B$5)^(AA$10-1)*$B$5/((1+$B$5)^12-1))</f>
        <v>262831.52524749882</v>
      </c>
      <c r="AB11" s="19" cm="1">
        <f t="array" ref="AB11">IF($B$5=0,INDEX('Income Statement'!$B$5:$F$5,AB$9)/12,INDEX('Income Statement'!$B$5:$F$5,AB$9)*(1+$B$5)^(AB$10-1)*$B$5/((1+$B$5)^12-1))</f>
        <v>268088.15575244877</v>
      </c>
      <c r="AC11" s="19" cm="1">
        <f t="array" ref="AC11">IF($B$5=0,INDEX('Income Statement'!$B$5:$F$5,AC$9)/12,INDEX('Income Statement'!$B$5:$F$5,AC$9)*(1+$B$5)^(AC$10-1)*$B$5/((1+$B$5)^12-1))</f>
        <v>273449.91886749776</v>
      </c>
      <c r="AD11" s="19" cm="1">
        <f t="array" ref="AD11">IF($B$5=0,INDEX('Income Statement'!$B$5:$F$5,AD$9)/12,INDEX('Income Statement'!$B$5:$F$5,AD$9)*(1+$B$5)^(AD$10-1)*$B$5/((1+$B$5)^12-1))</f>
        <v>278918.91724484769</v>
      </c>
      <c r="AE11" s="19" cm="1">
        <f t="array" ref="AE11">IF($B$5=0,INDEX('Income Statement'!$B$5:$F$5,AE$9)/12,INDEX('Income Statement'!$B$5:$F$5,AE$9)*(1+$B$5)^(AE$10-1)*$B$5/((1+$B$5)^12-1))</f>
        <v>284497.29558974464</v>
      </c>
      <c r="AF11" s="19" cm="1">
        <f t="array" ref="AF11">IF($B$5=0,INDEX('Income Statement'!$B$5:$F$5,AF$9)/12,INDEX('Income Statement'!$B$5:$F$5,AF$9)*(1+$B$5)^(AF$10-1)*$B$5/((1+$B$5)^12-1))</f>
        <v>290187.2415015396</v>
      </c>
      <c r="AG11" s="19" cm="1">
        <f t="array" ref="AG11">IF($B$5=0,INDEX('Income Statement'!$B$5:$F$5,AG$9)/12,INDEX('Income Statement'!$B$5:$F$5,AG$9)*(1+$B$5)^(AG$10-1)*$B$5/((1+$B$5)^12-1))</f>
        <v>295990.98633157031</v>
      </c>
      <c r="AH11" s="19" cm="1">
        <f t="array" ref="AH11">IF($B$5=0,INDEX('Income Statement'!$B$5:$F$5,AH$9)/12,INDEX('Income Statement'!$B$5:$F$5,AH$9)*(1+$B$5)^(AH$10-1)*$B$5/((1+$B$5)^12-1))</f>
        <v>301910.80605820171</v>
      </c>
      <c r="AI11" s="19" cm="1">
        <f t="array" ref="AI11">IF($B$5=0,INDEX('Income Statement'!$B$5:$F$5,AI$9)/12,INDEX('Income Statement'!$B$5:$F$5,AI$9)*(1+$B$5)^(AI$10-1)*$B$5/((1+$B$5)^12-1))</f>
        <v>307949.0221793658</v>
      </c>
      <c r="AJ11" s="19" cm="1">
        <f t="array" ref="AJ11">IF($B$5=0,INDEX('Income Statement'!$B$5:$F$5,AJ$9)/12,INDEX('Income Statement'!$B$5:$F$5,AJ$9)*(1+$B$5)^(AJ$10-1)*$B$5/((1+$B$5)^12-1))</f>
        <v>314108.00262295309</v>
      </c>
      <c r="AK11" s="19" cm="1">
        <f t="array" ref="AK11">IF($B$5=0,INDEX('Income Statement'!$B$5:$F$5,AK$9)/12,INDEX('Income Statement'!$B$5:$F$5,AK$9)*(1+$B$5)^(AK$10-1)*$B$5/((1+$B$5)^12-1))</f>
        <v>320390.16267541208</v>
      </c>
      <c r="AL11" s="19" cm="1">
        <f t="array" ref="AL11">IF($B$5=0,INDEX('Income Statement'!$B$5:$F$5,AL$9)/12,INDEX('Income Statement'!$B$5:$F$5,AL$9)*(1+$B$5)^(AL$10-1)*$B$5/((1+$B$5)^12-1))</f>
        <v>373633.05059693457</v>
      </c>
      <c r="AM11" s="19" cm="1">
        <f t="array" ref="AM11">IF($B$5=0,INDEX('Income Statement'!$B$5:$F$5,AM$9)/12,INDEX('Income Statement'!$B$5:$F$5,AM$9)*(1+$B$5)^(AM$10-1)*$B$5/((1+$B$5)^12-1))</f>
        <v>381105.71160887321</v>
      </c>
      <c r="AN11" s="19" cm="1">
        <f t="array" ref="AN11">IF($B$5=0,INDEX('Income Statement'!$B$5:$F$5,AN$9)/12,INDEX('Income Statement'!$B$5:$F$5,AN$9)*(1+$B$5)^(AN$10-1)*$B$5/((1+$B$5)^12-1))</f>
        <v>388727.82584105071</v>
      </c>
      <c r="AO11" s="19" cm="1">
        <f t="array" ref="AO11">IF($B$5=0,INDEX('Income Statement'!$B$5:$F$5,AO$9)/12,INDEX('Income Statement'!$B$5:$F$5,AO$9)*(1+$B$5)^(AO$10-1)*$B$5/((1+$B$5)^12-1))</f>
        <v>396502.38235787174</v>
      </c>
      <c r="AP11" s="19" cm="1">
        <f t="array" ref="AP11">IF($B$5=0,INDEX('Income Statement'!$B$5:$F$5,AP$9)/12,INDEX('Income Statement'!$B$5:$F$5,AP$9)*(1+$B$5)^(AP$10-1)*$B$5/((1+$B$5)^12-1))</f>
        <v>404432.43000502913</v>
      </c>
      <c r="AQ11" s="19" cm="1">
        <f t="array" ref="AQ11">IF($B$5=0,INDEX('Income Statement'!$B$5:$F$5,AQ$9)/12,INDEX('Income Statement'!$B$5:$F$5,AQ$9)*(1+$B$5)^(AQ$10-1)*$B$5/((1+$B$5)^12-1))</f>
        <v>412521.07860512967</v>
      </c>
      <c r="AR11" s="19" cm="1">
        <f t="array" ref="AR11">IF($B$5=0,INDEX('Income Statement'!$B$5:$F$5,AR$9)/12,INDEX('Income Statement'!$B$5:$F$5,AR$9)*(1+$B$5)^(AR$10-1)*$B$5/((1+$B$5)^12-1))</f>
        <v>420771.50017723237</v>
      </c>
      <c r="AS11" s="19" cm="1">
        <f t="array" ref="AS11">IF($B$5=0,INDEX('Income Statement'!$B$5:$F$5,AS$9)/12,INDEX('Income Statement'!$B$5:$F$5,AS$9)*(1+$B$5)^(AS$10-1)*$B$5/((1+$B$5)^12-1))</f>
        <v>429186.93018077692</v>
      </c>
      <c r="AT11" s="19" cm="1">
        <f t="array" ref="AT11">IF($B$5=0,INDEX('Income Statement'!$B$5:$F$5,AT$9)/12,INDEX('Income Statement'!$B$5:$F$5,AT$9)*(1+$B$5)^(AT$10-1)*$B$5/((1+$B$5)^12-1))</f>
        <v>437770.66878439247</v>
      </c>
      <c r="AU11" s="19" cm="1">
        <f t="array" ref="AU11">IF($B$5=0,INDEX('Income Statement'!$B$5:$F$5,AU$9)/12,INDEX('Income Statement'!$B$5:$F$5,AU$9)*(1+$B$5)^(AU$10-1)*$B$5/((1+$B$5)^12-1))</f>
        <v>446526.08216008032</v>
      </c>
      <c r="AV11" s="19" cm="1">
        <f t="array" ref="AV11">IF($B$5=0,INDEX('Income Statement'!$B$5:$F$5,AV$9)/12,INDEX('Income Statement'!$B$5:$F$5,AV$9)*(1+$B$5)^(AV$10-1)*$B$5/((1+$B$5)^12-1))</f>
        <v>455456.60380328202</v>
      </c>
      <c r="AW11" s="19" cm="1">
        <f t="array" ref="AW11">IF($B$5=0,INDEX('Income Statement'!$B$5:$F$5,AW$9)/12,INDEX('Income Statement'!$B$5:$F$5,AW$9)*(1+$B$5)^(AW$10-1)*$B$5/((1+$B$5)^12-1))</f>
        <v>464565.73587934754</v>
      </c>
      <c r="AX11" s="19" cm="1">
        <f t="array" ref="AX11">IF($B$5=0,INDEX('Income Statement'!$B$5:$F$5,AX$9)/12,INDEX('Income Statement'!$B$5:$F$5,AX$9)*(1+$B$5)^(AX$10-1)*$B$5/((1+$B$5)^12-1))</f>
        <v>504404.6183058616</v>
      </c>
      <c r="AY11" s="19" cm="1">
        <f t="array" ref="AY11">IF($B$5=0,INDEX('Income Statement'!$B$5:$F$5,AY$9)/12,INDEX('Income Statement'!$B$5:$F$5,AY$9)*(1+$B$5)^(AY$10-1)*$B$5/((1+$B$5)^12-1))</f>
        <v>514492.71067197889</v>
      </c>
      <c r="AZ11" s="19" cm="1">
        <f t="array" ref="AZ11">IF($B$5=0,INDEX('Income Statement'!$B$5:$F$5,AZ$9)/12,INDEX('Income Statement'!$B$5:$F$5,AZ$9)*(1+$B$5)^(AZ$10-1)*$B$5/((1+$B$5)^12-1))</f>
        <v>524782.56488541851</v>
      </c>
      <c r="BA11" s="19" cm="1">
        <f t="array" ref="BA11">IF($B$5=0,INDEX('Income Statement'!$B$5:$F$5,BA$9)/12,INDEX('Income Statement'!$B$5:$F$5,BA$9)*(1+$B$5)^(BA$10-1)*$B$5/((1+$B$5)^12-1))</f>
        <v>535278.21618312679</v>
      </c>
      <c r="BB11" s="19" cm="1">
        <f t="array" ref="BB11">IF($B$5=0,INDEX('Income Statement'!$B$5:$F$5,BB$9)/12,INDEX('Income Statement'!$B$5:$F$5,BB$9)*(1+$B$5)^(BB$10-1)*$B$5/((1+$B$5)^12-1))</f>
        <v>545983.78050678934</v>
      </c>
      <c r="BC11" s="19" cm="1">
        <f t="array" ref="BC11">IF($B$5=0,INDEX('Income Statement'!$B$5:$F$5,BC$9)/12,INDEX('Income Statement'!$B$5:$F$5,BC$9)*(1+$B$5)^(BC$10-1)*$B$5/((1+$B$5)^12-1))</f>
        <v>556903.45611692523</v>
      </c>
      <c r="BD11" s="19" cm="1">
        <f t="array" ref="BD11">IF($B$5=0,INDEX('Income Statement'!$B$5:$F$5,BD$9)/12,INDEX('Income Statement'!$B$5:$F$5,BD$9)*(1+$B$5)^(BD$10-1)*$B$5/((1+$B$5)^12-1))</f>
        <v>568041.52523926378</v>
      </c>
      <c r="BE11" s="19" cm="1">
        <f t="array" ref="BE11">IF($B$5=0,INDEX('Income Statement'!$B$5:$F$5,BE$9)/12,INDEX('Income Statement'!$B$5:$F$5,BE$9)*(1+$B$5)^(BE$10-1)*$B$5/((1+$B$5)^12-1))</f>
        <v>579402.35574404884</v>
      </c>
      <c r="BF11" s="19" cm="1">
        <f t="array" ref="BF11">IF($B$5=0,INDEX('Income Statement'!$B$5:$F$5,BF$9)/12,INDEX('Income Statement'!$B$5:$F$5,BF$9)*(1+$B$5)^(BF$10-1)*$B$5/((1+$B$5)^12-1))</f>
        <v>590990.40285892994</v>
      </c>
      <c r="BG11" s="19" cm="1">
        <f t="array" ref="BG11">IF($B$5=0,INDEX('Income Statement'!$B$5:$F$5,BG$9)/12,INDEX('Income Statement'!$B$5:$F$5,BG$9)*(1+$B$5)^(BG$10-1)*$B$5/((1+$B$5)^12-1))</f>
        <v>602810.21091610845</v>
      </c>
      <c r="BH11" s="19" cm="1">
        <f t="array" ref="BH11">IF($B$5=0,INDEX('Income Statement'!$B$5:$F$5,BH$9)/12,INDEX('Income Statement'!$B$5:$F$5,BH$9)*(1+$B$5)^(BH$10-1)*$B$5/((1+$B$5)^12-1))</f>
        <v>614866.41513443075</v>
      </c>
      <c r="BI11" s="19" cm="1">
        <f t="array" ref="BI11">IF($B$5=0,INDEX('Income Statement'!$B$5:$F$5,BI$9)/12,INDEX('Income Statement'!$B$5:$F$5,BI$9)*(1+$B$5)^(BI$10-1)*$B$5/((1+$B$5)^12-1))</f>
        <v>627163.74343711918</v>
      </c>
    </row>
    <row r="12" spans="1:61" x14ac:dyDescent="0.3">
      <c r="A12" s="4" t="s">
        <v>36</v>
      </c>
      <c r="B12" s="19">
        <f>-B11*(1-Assumptions!$B$10)</f>
        <v>-22367.878986885451</v>
      </c>
      <c r="C12" s="19">
        <f>-C11*(1-Assumptions!$B$10)</f>
        <v>-22815.23656662316</v>
      </c>
      <c r="D12" s="19">
        <f>-D11*(1-Assumptions!$B$10)</f>
        <v>-23271.541297955624</v>
      </c>
      <c r="E12" s="19">
        <f>-E11*(1-Assumptions!$B$10)</f>
        <v>-23736.972123914733</v>
      </c>
      <c r="F12" s="19">
        <f>-F11*(1-Assumptions!$B$10)</f>
        <v>-24211.711566393031</v>
      </c>
      <c r="G12" s="19">
        <f>-G11*(1-Assumptions!$B$10)</f>
        <v>-24695.945797720891</v>
      </c>
      <c r="H12" s="19">
        <f>-H11*(1-Assumptions!$B$10)</f>
        <v>-25189.86471367531</v>
      </c>
      <c r="I12" s="19">
        <f>-I11*(1-Assumptions!$B$10)</f>
        <v>-25693.662007948809</v>
      </c>
      <c r="J12" s="19">
        <f>-J11*(1-Assumptions!$B$10)</f>
        <v>-26207.535248107786</v>
      </c>
      <c r="K12" s="19">
        <f>-K11*(1-Assumptions!$B$10)</f>
        <v>-26731.685953069944</v>
      </c>
      <c r="L12" s="19">
        <f>-L11*(1-Assumptions!$B$10)</f>
        <v>-27266.319672131343</v>
      </c>
      <c r="M12" s="19">
        <f>-M11*(1-Assumptions!$B$10)</f>
        <v>-27811.646065573965</v>
      </c>
      <c r="N12" s="19">
        <f>-N11*(1-Assumptions!$B$10)</f>
        <v>-40262.182176393813</v>
      </c>
      <c r="O12" s="19">
        <f>-O11*(1-Assumptions!$B$10)</f>
        <v>-41067.425819921686</v>
      </c>
      <c r="P12" s="19">
        <f>-P11*(1-Assumptions!$B$10)</f>
        <v>-41888.774336320115</v>
      </c>
      <c r="Q12" s="19">
        <f>-Q11*(1-Assumptions!$B$10)</f>
        <v>-42726.549823046516</v>
      </c>
      <c r="R12" s="19">
        <f>-R11*(1-Assumptions!$B$10)</f>
        <v>-43581.08081950745</v>
      </c>
      <c r="S12" s="19">
        <f>-S11*(1-Assumptions!$B$10)</f>
        <v>-44452.702435897605</v>
      </c>
      <c r="T12" s="19">
        <f>-T11*(1-Assumptions!$B$10)</f>
        <v>-45341.756484615558</v>
      </c>
      <c r="U12" s="19">
        <f>-U11*(1-Assumptions!$B$10)</f>
        <v>-46248.591614307865</v>
      </c>
      <c r="V12" s="19">
        <f>-V11*(1-Assumptions!$B$10)</f>
        <v>-47173.563446594024</v>
      </c>
      <c r="W12" s="19">
        <f>-W11*(1-Assumptions!$B$10)</f>
        <v>-48117.034715525908</v>
      </c>
      <c r="X12" s="19">
        <f>-X11*(1-Assumptions!$B$10)</f>
        <v>-49079.375409836422</v>
      </c>
      <c r="Y12" s="19">
        <f>-Y11*(1-Assumptions!$B$10)</f>
        <v>-50060.962918033147</v>
      </c>
      <c r="Z12" s="19">
        <f>-Z11*(1-Assumptions!$B$10)</f>
        <v>-64419.491482230093</v>
      </c>
      <c r="AA12" s="19">
        <f>-AA11*(1-Assumptions!$B$10)</f>
        <v>-65707.881311874706</v>
      </c>
      <c r="AB12" s="19">
        <f>-AB11*(1-Assumptions!$B$10)</f>
        <v>-67022.038938112193</v>
      </c>
      <c r="AC12" s="19">
        <f>-AC11*(1-Assumptions!$B$10)</f>
        <v>-68362.479716874441</v>
      </c>
      <c r="AD12" s="19">
        <f>-AD11*(1-Assumptions!$B$10)</f>
        <v>-69729.729311211922</v>
      </c>
      <c r="AE12" s="19">
        <f>-AE11*(1-Assumptions!$B$10)</f>
        <v>-71124.323897436159</v>
      </c>
      <c r="AF12" s="19">
        <f>-AF11*(1-Assumptions!$B$10)</f>
        <v>-72546.810375384899</v>
      </c>
      <c r="AG12" s="19">
        <f>-AG11*(1-Assumptions!$B$10)</f>
        <v>-73997.746582892578</v>
      </c>
      <c r="AH12" s="19">
        <f>-AH11*(1-Assumptions!$B$10)</f>
        <v>-75477.701514550427</v>
      </c>
      <c r="AI12" s="19">
        <f>-AI11*(1-Assumptions!$B$10)</f>
        <v>-76987.25554484145</v>
      </c>
      <c r="AJ12" s="19">
        <f>-AJ11*(1-Assumptions!$B$10)</f>
        <v>-78527.000655738273</v>
      </c>
      <c r="AK12" s="19">
        <f>-AK11*(1-Assumptions!$B$10)</f>
        <v>-80097.54066885302</v>
      </c>
      <c r="AL12" s="19">
        <f>-AL11*(1-Assumptions!$B$10)</f>
        <v>-93408.262649233642</v>
      </c>
      <c r="AM12" s="19">
        <f>-AM11*(1-Assumptions!$B$10)</f>
        <v>-95276.427902218304</v>
      </c>
      <c r="AN12" s="19">
        <f>-AN11*(1-Assumptions!$B$10)</f>
        <v>-97181.956460262678</v>
      </c>
      <c r="AO12" s="19">
        <f>-AO11*(1-Assumptions!$B$10)</f>
        <v>-99125.595589467935</v>
      </c>
      <c r="AP12" s="19">
        <f>-AP11*(1-Assumptions!$B$10)</f>
        <v>-101108.10750125728</v>
      </c>
      <c r="AQ12" s="19">
        <f>-AQ11*(1-Assumptions!$B$10)</f>
        <v>-103130.26965128242</v>
      </c>
      <c r="AR12" s="19">
        <f>-AR11*(1-Assumptions!$B$10)</f>
        <v>-105192.87504430809</v>
      </c>
      <c r="AS12" s="19">
        <f>-AS11*(1-Assumptions!$B$10)</f>
        <v>-107296.73254519423</v>
      </c>
      <c r="AT12" s="19">
        <f>-AT11*(1-Assumptions!$B$10)</f>
        <v>-109442.66719609812</v>
      </c>
      <c r="AU12" s="19">
        <f>-AU11*(1-Assumptions!$B$10)</f>
        <v>-111631.52054002008</v>
      </c>
      <c r="AV12" s="19">
        <f>-AV11*(1-Assumptions!$B$10)</f>
        <v>-113864.15095082051</v>
      </c>
      <c r="AW12" s="19">
        <f>-AW11*(1-Assumptions!$B$10)</f>
        <v>-116141.43396983689</v>
      </c>
      <c r="AX12" s="19">
        <f>-AX11*(1-Assumptions!$B$10)</f>
        <v>-126101.1545764654</v>
      </c>
      <c r="AY12" s="19">
        <f>-AY11*(1-Assumptions!$B$10)</f>
        <v>-128623.17766799472</v>
      </c>
      <c r="AZ12" s="19">
        <f>-AZ11*(1-Assumptions!$B$10)</f>
        <v>-131195.64122135463</v>
      </c>
      <c r="BA12" s="19">
        <f>-BA11*(1-Assumptions!$B$10)</f>
        <v>-133819.5540457817</v>
      </c>
      <c r="BB12" s="19">
        <f>-BB11*(1-Assumptions!$B$10)</f>
        <v>-136495.94512669733</v>
      </c>
      <c r="BC12" s="19">
        <f>-BC11*(1-Assumptions!$B$10)</f>
        <v>-139225.86402923131</v>
      </c>
      <c r="BD12" s="19">
        <f>-BD11*(1-Assumptions!$B$10)</f>
        <v>-142010.38130981594</v>
      </c>
      <c r="BE12" s="19">
        <f>-BE11*(1-Assumptions!$B$10)</f>
        <v>-144850.58893601221</v>
      </c>
      <c r="BF12" s="19">
        <f>-BF11*(1-Assumptions!$B$10)</f>
        <v>-147747.60071473249</v>
      </c>
      <c r="BG12" s="19">
        <f>-BG11*(1-Assumptions!$B$10)</f>
        <v>-150702.55272902711</v>
      </c>
      <c r="BH12" s="19">
        <f>-BH11*(1-Assumptions!$B$10)</f>
        <v>-153716.60378360769</v>
      </c>
      <c r="BI12" s="19">
        <f>-BI11*(1-Assumptions!$B$10)</f>
        <v>-156790.93585927979</v>
      </c>
    </row>
    <row r="13" spans="1:61" x14ac:dyDescent="0.3">
      <c r="A13" s="11" t="s">
        <v>37</v>
      </c>
      <c r="B13" s="20">
        <f>B11+B12</f>
        <v>67103.636960656353</v>
      </c>
      <c r="C13" s="20">
        <f>C11+C12</f>
        <v>68445.709699869476</v>
      </c>
      <c r="D13" s="20">
        <f t="shared" ref="D13:BI13" si="3">D11+D12</f>
        <v>69814.623893866868</v>
      </c>
      <c r="E13" s="20">
        <f t="shared" si="3"/>
        <v>71210.916371744199</v>
      </c>
      <c r="F13" s="20">
        <f t="shared" si="3"/>
        <v>72635.134699179092</v>
      </c>
      <c r="G13" s="20">
        <f t="shared" si="3"/>
        <v>74087.83739316267</v>
      </c>
      <c r="H13" s="20">
        <f t="shared" si="3"/>
        <v>75569.594141025926</v>
      </c>
      <c r="I13" s="20">
        <f t="shared" si="3"/>
        <v>77080.986023846432</v>
      </c>
      <c r="J13" s="20">
        <f t="shared" si="3"/>
        <v>78622.605744323359</v>
      </c>
      <c r="K13" s="20">
        <f t="shared" si="3"/>
        <v>80195.057859209832</v>
      </c>
      <c r="L13" s="20">
        <f t="shared" si="3"/>
        <v>81798.95901639403</v>
      </c>
      <c r="M13" s="20">
        <f t="shared" si="3"/>
        <v>83434.938196721894</v>
      </c>
      <c r="N13" s="20">
        <f t="shared" si="3"/>
        <v>120786.54652918145</v>
      </c>
      <c r="O13" s="20">
        <f t="shared" si="3"/>
        <v>123202.27745976506</v>
      </c>
      <c r="P13" s="20">
        <f t="shared" si="3"/>
        <v>125666.32300896035</v>
      </c>
      <c r="Q13" s="20">
        <f t="shared" si="3"/>
        <v>128179.64946913955</v>
      </c>
      <c r="R13" s="20">
        <f t="shared" si="3"/>
        <v>130743.24245852235</v>
      </c>
      <c r="S13" s="20">
        <f t="shared" si="3"/>
        <v>133358.10730769282</v>
      </c>
      <c r="T13" s="20">
        <f t="shared" si="3"/>
        <v>136025.26945384667</v>
      </c>
      <c r="U13" s="20">
        <f t="shared" si="3"/>
        <v>138745.77484292359</v>
      </c>
      <c r="V13" s="20">
        <f t="shared" si="3"/>
        <v>141520.69033978207</v>
      </c>
      <c r="W13" s="20">
        <f t="shared" si="3"/>
        <v>144351.10414657771</v>
      </c>
      <c r="X13" s="20">
        <f t="shared" si="3"/>
        <v>147238.12622950927</v>
      </c>
      <c r="Y13" s="20">
        <f t="shared" si="3"/>
        <v>150182.88875409943</v>
      </c>
      <c r="Z13" s="20">
        <f t="shared" si="3"/>
        <v>193258.47444669029</v>
      </c>
      <c r="AA13" s="20">
        <f t="shared" si="3"/>
        <v>197123.6439356241</v>
      </c>
      <c r="AB13" s="20">
        <f t="shared" si="3"/>
        <v>201066.11681433656</v>
      </c>
      <c r="AC13" s="20">
        <f t="shared" si="3"/>
        <v>205087.43915062334</v>
      </c>
      <c r="AD13" s="20">
        <f t="shared" si="3"/>
        <v>209189.18793363578</v>
      </c>
      <c r="AE13" s="20">
        <f t="shared" si="3"/>
        <v>213372.97169230849</v>
      </c>
      <c r="AF13" s="20">
        <f t="shared" si="3"/>
        <v>217640.4311261547</v>
      </c>
      <c r="AG13" s="20">
        <f t="shared" si="3"/>
        <v>221993.23974867773</v>
      </c>
      <c r="AH13" s="20">
        <f t="shared" si="3"/>
        <v>226433.10454365128</v>
      </c>
      <c r="AI13" s="20">
        <f t="shared" si="3"/>
        <v>230961.76663452433</v>
      </c>
      <c r="AJ13" s="20">
        <f t="shared" si="3"/>
        <v>235581.0019672148</v>
      </c>
      <c r="AK13" s="20">
        <f t="shared" si="3"/>
        <v>240292.62200655905</v>
      </c>
      <c r="AL13" s="20">
        <f t="shared" si="3"/>
        <v>280224.78794770094</v>
      </c>
      <c r="AM13" s="20">
        <f t="shared" si="3"/>
        <v>285829.28370665491</v>
      </c>
      <c r="AN13" s="20">
        <f t="shared" si="3"/>
        <v>291545.86938078806</v>
      </c>
      <c r="AO13" s="20">
        <f t="shared" si="3"/>
        <v>297376.78676840384</v>
      </c>
      <c r="AP13" s="20">
        <f t="shared" si="3"/>
        <v>303324.32250377187</v>
      </c>
      <c r="AQ13" s="20">
        <f t="shared" si="3"/>
        <v>309390.80895384727</v>
      </c>
      <c r="AR13" s="20">
        <f t="shared" si="3"/>
        <v>315578.6251329243</v>
      </c>
      <c r="AS13" s="20">
        <f t="shared" si="3"/>
        <v>321890.19763558271</v>
      </c>
      <c r="AT13" s="20">
        <f t="shared" si="3"/>
        <v>328328.00158829434</v>
      </c>
      <c r="AU13" s="20">
        <f t="shared" si="3"/>
        <v>334894.56162006024</v>
      </c>
      <c r="AV13" s="20">
        <f t="shared" si="3"/>
        <v>341592.45285246149</v>
      </c>
      <c r="AW13" s="20">
        <f t="shared" si="3"/>
        <v>348424.30190951063</v>
      </c>
      <c r="AX13" s="20">
        <f t="shared" si="3"/>
        <v>378303.46372939623</v>
      </c>
      <c r="AY13" s="20">
        <f t="shared" si="3"/>
        <v>385869.53300398414</v>
      </c>
      <c r="AZ13" s="20">
        <f t="shared" si="3"/>
        <v>393586.92366406391</v>
      </c>
      <c r="BA13" s="20">
        <f t="shared" si="3"/>
        <v>401458.66213734506</v>
      </c>
      <c r="BB13" s="20">
        <f t="shared" si="3"/>
        <v>409487.83538009203</v>
      </c>
      <c r="BC13" s="20">
        <f t="shared" si="3"/>
        <v>417677.59208769392</v>
      </c>
      <c r="BD13" s="20">
        <f t="shared" si="3"/>
        <v>426031.14392944786</v>
      </c>
      <c r="BE13" s="20">
        <f t="shared" si="3"/>
        <v>434551.7668080366</v>
      </c>
      <c r="BF13" s="20">
        <f t="shared" si="3"/>
        <v>443242.80214419746</v>
      </c>
      <c r="BG13" s="20">
        <f t="shared" si="3"/>
        <v>452107.65818708134</v>
      </c>
      <c r="BH13" s="20">
        <f t="shared" si="3"/>
        <v>461149.81135082303</v>
      </c>
      <c r="BI13" s="20">
        <f t="shared" si="3"/>
        <v>470372.80757783935</v>
      </c>
    </row>
    <row r="14" spans="1:61" x14ac:dyDescent="0.3">
      <c r="A14" s="4" t="s">
        <v>38</v>
      </c>
      <c r="B14" s="19">
        <f>-B11*Assumptions!$B$13</f>
        <v>-35788.606379016725</v>
      </c>
      <c r="C14" s="19">
        <f>-C11*Assumptions!$B$13</f>
        <v>-36504.378506597059</v>
      </c>
      <c r="D14" s="19">
        <f>-D11*Assumptions!$B$13</f>
        <v>-37234.466076728997</v>
      </c>
      <c r="E14" s="19">
        <f>-E11*Assumptions!$B$13</f>
        <v>-37979.155398263574</v>
      </c>
      <c r="F14" s="19">
        <f>-F11*Assumptions!$B$13</f>
        <v>-38738.738506228852</v>
      </c>
      <c r="G14" s="19">
        <f>-G11*Assumptions!$B$13</f>
        <v>-39513.513276353427</v>
      </c>
      <c r="H14" s="19">
        <f>-H11*Assumptions!$B$13</f>
        <v>-40303.783541880497</v>
      </c>
      <c r="I14" s="19">
        <f>-I11*Assumptions!$B$13</f>
        <v>-41109.859212718096</v>
      </c>
      <c r="J14" s="19">
        <f>-J11*Assumptions!$B$13</f>
        <v>-41932.056396972461</v>
      </c>
      <c r="K14" s="19">
        <f>-K11*Assumptions!$B$13</f>
        <v>-42770.697524911913</v>
      </c>
      <c r="L14" s="19">
        <f>-L11*Assumptions!$B$13</f>
        <v>-43626.111475410151</v>
      </c>
      <c r="M14" s="19">
        <f>-M11*Assumptions!$B$13</f>
        <v>-44498.633704918349</v>
      </c>
      <c r="N14" s="19">
        <f>-N11*Assumptions!$B$13</f>
        <v>-64419.491482230107</v>
      </c>
      <c r="O14" s="19">
        <f>-O11*Assumptions!$B$13</f>
        <v>-65707.881311874706</v>
      </c>
      <c r="P14" s="19">
        <f>-P11*Assumptions!$B$13</f>
        <v>-67022.038938112193</v>
      </c>
      <c r="Q14" s="19">
        <f>-Q11*Assumptions!$B$13</f>
        <v>-68362.479716874426</v>
      </c>
      <c r="R14" s="19">
        <f>-R11*Assumptions!$B$13</f>
        <v>-69729.729311211922</v>
      </c>
      <c r="S14" s="19">
        <f>-S11*Assumptions!$B$13</f>
        <v>-71124.323897436174</v>
      </c>
      <c r="T14" s="19">
        <f>-T11*Assumptions!$B$13</f>
        <v>-72546.810375384899</v>
      </c>
      <c r="U14" s="19">
        <f>-U11*Assumptions!$B$13</f>
        <v>-73997.746582892592</v>
      </c>
      <c r="V14" s="19">
        <f>-V11*Assumptions!$B$13</f>
        <v>-75477.701514550441</v>
      </c>
      <c r="W14" s="19">
        <f>-W11*Assumptions!$B$13</f>
        <v>-76987.25554484145</v>
      </c>
      <c r="X14" s="19">
        <f>-X11*Assumptions!$B$13</f>
        <v>-78527.000655738273</v>
      </c>
      <c r="Y14" s="19">
        <f>-Y11*Assumptions!$B$13</f>
        <v>-80097.540668853035</v>
      </c>
      <c r="Z14" s="19">
        <f>-Z11*Assumptions!$B$13</f>
        <v>-103071.18637156815</v>
      </c>
      <c r="AA14" s="19">
        <f>-AA11*Assumptions!$B$13</f>
        <v>-105132.61009899953</v>
      </c>
      <c r="AB14" s="19">
        <f>-AB11*Assumptions!$B$13</f>
        <v>-107235.26230097952</v>
      </c>
      <c r="AC14" s="19">
        <f>-AC11*Assumptions!$B$13</f>
        <v>-109379.96754699911</v>
      </c>
      <c r="AD14" s="19">
        <f>-AD11*Assumptions!$B$13</f>
        <v>-111567.56689793908</v>
      </c>
      <c r="AE14" s="19">
        <f>-AE11*Assumptions!$B$13</f>
        <v>-113798.91823589786</v>
      </c>
      <c r="AF14" s="19">
        <f>-AF11*Assumptions!$B$13</f>
        <v>-116074.89660061584</v>
      </c>
      <c r="AG14" s="19">
        <f>-AG11*Assumptions!$B$13</f>
        <v>-118396.39453262812</v>
      </c>
      <c r="AH14" s="19">
        <f>-AH11*Assumptions!$B$13</f>
        <v>-120764.32242328068</v>
      </c>
      <c r="AI14" s="19">
        <f>-AI11*Assumptions!$B$13</f>
        <v>-123179.60887174633</v>
      </c>
      <c r="AJ14" s="19">
        <f>-AJ11*Assumptions!$B$13</f>
        <v>-125643.20104918124</v>
      </c>
      <c r="AK14" s="19">
        <f>-AK11*Assumptions!$B$13</f>
        <v>-128156.06507016484</v>
      </c>
      <c r="AL14" s="19">
        <f>-AL11*Assumptions!$B$13</f>
        <v>-149453.22023877382</v>
      </c>
      <c r="AM14" s="19">
        <f>-AM11*Assumptions!$B$13</f>
        <v>-152442.2846435493</v>
      </c>
      <c r="AN14" s="19">
        <f>-AN11*Assumptions!$B$13</f>
        <v>-155491.13033642029</v>
      </c>
      <c r="AO14" s="19">
        <f>-AO11*Assumptions!$B$13</f>
        <v>-158600.9529431487</v>
      </c>
      <c r="AP14" s="19">
        <f>-AP11*Assumptions!$B$13</f>
        <v>-161772.97200201167</v>
      </c>
      <c r="AQ14" s="19">
        <f>-AQ11*Assumptions!$B$13</f>
        <v>-165008.43144205189</v>
      </c>
      <c r="AR14" s="19">
        <f>-AR11*Assumptions!$B$13</f>
        <v>-168308.60007089295</v>
      </c>
      <c r="AS14" s="19">
        <f>-AS11*Assumptions!$B$13</f>
        <v>-171674.77207231079</v>
      </c>
      <c r="AT14" s="19">
        <f>-AT11*Assumptions!$B$13</f>
        <v>-175108.26751375699</v>
      </c>
      <c r="AU14" s="19">
        <f>-AU11*Assumptions!$B$13</f>
        <v>-178610.43286403213</v>
      </c>
      <c r="AV14" s="19">
        <f>-AV11*Assumptions!$B$13</f>
        <v>-182182.64152131282</v>
      </c>
      <c r="AW14" s="19">
        <f>-AW11*Assumptions!$B$13</f>
        <v>-185826.29435173902</v>
      </c>
      <c r="AX14" s="19">
        <f>-AX11*Assumptions!$B$13</f>
        <v>-201761.84732234466</v>
      </c>
      <c r="AY14" s="19">
        <f>-AY11*Assumptions!$B$13</f>
        <v>-205797.08426879157</v>
      </c>
      <c r="AZ14" s="19">
        <f>-AZ11*Assumptions!$B$13</f>
        <v>-209913.02595416742</v>
      </c>
      <c r="BA14" s="19">
        <f>-BA11*Assumptions!$B$13</f>
        <v>-214111.28647325072</v>
      </c>
      <c r="BB14" s="19">
        <f>-BB11*Assumptions!$B$13</f>
        <v>-218393.51220271573</v>
      </c>
      <c r="BC14" s="19">
        <f>-BC11*Assumptions!$B$13</f>
        <v>-222761.38244677009</v>
      </c>
      <c r="BD14" s="19">
        <f>-BD11*Assumptions!$B$13</f>
        <v>-227216.61009570552</v>
      </c>
      <c r="BE14" s="19">
        <f>-BE11*Assumptions!$B$13</f>
        <v>-231760.94229761953</v>
      </c>
      <c r="BF14" s="19">
        <f>-BF11*Assumptions!$B$13</f>
        <v>-236396.16114357198</v>
      </c>
      <c r="BG14" s="19">
        <f>-BG11*Assumptions!$B$13</f>
        <v>-241124.08436644339</v>
      </c>
      <c r="BH14" s="19">
        <f>-BH11*Assumptions!$B$13</f>
        <v>-245946.56605377232</v>
      </c>
      <c r="BI14" s="19">
        <f>-BI11*Assumptions!$B$13</f>
        <v>-250865.49737484768</v>
      </c>
    </row>
    <row r="15" spans="1:61" x14ac:dyDescent="0.3">
      <c r="A15" s="4" t="s">
        <v>39</v>
      </c>
      <c r="B15" s="19">
        <f>-B11*Assumptions!$B$14</f>
        <v>-22367.878986885451</v>
      </c>
      <c r="C15" s="19">
        <f>-C11*Assumptions!$B$14</f>
        <v>-22815.23656662316</v>
      </c>
      <c r="D15" s="19">
        <f>-D11*Assumptions!$B$14</f>
        <v>-23271.541297955624</v>
      </c>
      <c r="E15" s="19">
        <f>-E11*Assumptions!$B$14</f>
        <v>-23736.972123914733</v>
      </c>
      <c r="F15" s="19">
        <f>-F11*Assumptions!$B$14</f>
        <v>-24211.711566393031</v>
      </c>
      <c r="G15" s="19">
        <f>-G11*Assumptions!$B$14</f>
        <v>-24695.945797720891</v>
      </c>
      <c r="H15" s="19">
        <f>-H11*Assumptions!$B$14</f>
        <v>-25189.86471367531</v>
      </c>
      <c r="I15" s="19">
        <f>-I11*Assumptions!$B$14</f>
        <v>-25693.662007948809</v>
      </c>
      <c r="J15" s="19">
        <f>-J11*Assumptions!$B$14</f>
        <v>-26207.535248107786</v>
      </c>
      <c r="K15" s="19">
        <f>-K11*Assumptions!$B$14</f>
        <v>-26731.685953069944</v>
      </c>
      <c r="L15" s="19">
        <f>-L11*Assumptions!$B$14</f>
        <v>-27266.319672131343</v>
      </c>
      <c r="M15" s="19">
        <f>-M11*Assumptions!$B$14</f>
        <v>-27811.646065573965</v>
      </c>
      <c r="N15" s="19">
        <f>-N11*Assumptions!$B$14</f>
        <v>-40262.182176393813</v>
      </c>
      <c r="O15" s="19">
        <f>-O11*Assumptions!$B$14</f>
        <v>-41067.425819921686</v>
      </c>
      <c r="P15" s="19">
        <f>-P11*Assumptions!$B$14</f>
        <v>-41888.774336320115</v>
      </c>
      <c r="Q15" s="19">
        <f>-Q11*Assumptions!$B$14</f>
        <v>-42726.549823046516</v>
      </c>
      <c r="R15" s="19">
        <f>-R11*Assumptions!$B$14</f>
        <v>-43581.08081950745</v>
      </c>
      <c r="S15" s="19">
        <f>-S11*Assumptions!$B$14</f>
        <v>-44452.702435897605</v>
      </c>
      <c r="T15" s="19">
        <f>-T11*Assumptions!$B$14</f>
        <v>-45341.756484615558</v>
      </c>
      <c r="U15" s="19">
        <f>-U11*Assumptions!$B$14</f>
        <v>-46248.591614307865</v>
      </c>
      <c r="V15" s="19">
        <f>-V11*Assumptions!$B$14</f>
        <v>-47173.563446594024</v>
      </c>
      <c r="W15" s="19">
        <f>-W11*Assumptions!$B$14</f>
        <v>-48117.034715525908</v>
      </c>
      <c r="X15" s="19">
        <f>-X11*Assumptions!$B$14</f>
        <v>-49079.375409836422</v>
      </c>
      <c r="Y15" s="19">
        <f>-Y11*Assumptions!$B$14</f>
        <v>-50060.962918033147</v>
      </c>
      <c r="Z15" s="19">
        <f>-Z11*Assumptions!$B$14</f>
        <v>-64419.491482230093</v>
      </c>
      <c r="AA15" s="19">
        <f>-AA11*Assumptions!$B$14</f>
        <v>-65707.881311874706</v>
      </c>
      <c r="AB15" s="19">
        <f>-AB11*Assumptions!$B$14</f>
        <v>-67022.038938112193</v>
      </c>
      <c r="AC15" s="19">
        <f>-AC11*Assumptions!$B$14</f>
        <v>-68362.479716874441</v>
      </c>
      <c r="AD15" s="19">
        <f>-AD11*Assumptions!$B$14</f>
        <v>-69729.729311211922</v>
      </c>
      <c r="AE15" s="19">
        <f>-AE11*Assumptions!$B$14</f>
        <v>-71124.323897436159</v>
      </c>
      <c r="AF15" s="19">
        <f>-AF11*Assumptions!$B$14</f>
        <v>-72546.810375384899</v>
      </c>
      <c r="AG15" s="19">
        <f>-AG11*Assumptions!$B$14</f>
        <v>-73997.746582892578</v>
      </c>
      <c r="AH15" s="19">
        <f>-AH11*Assumptions!$B$14</f>
        <v>-75477.701514550427</v>
      </c>
      <c r="AI15" s="19">
        <f>-AI11*Assumptions!$B$14</f>
        <v>-76987.25554484145</v>
      </c>
      <c r="AJ15" s="19">
        <f>-AJ11*Assumptions!$B$14</f>
        <v>-78527.000655738273</v>
      </c>
      <c r="AK15" s="19">
        <f>-AK11*Assumptions!$B$14</f>
        <v>-80097.54066885302</v>
      </c>
      <c r="AL15" s="19">
        <f>-AL11*Assumptions!$B$14</f>
        <v>-93408.262649233642</v>
      </c>
      <c r="AM15" s="19">
        <f>-AM11*Assumptions!$B$14</f>
        <v>-95276.427902218304</v>
      </c>
      <c r="AN15" s="19">
        <f>-AN11*Assumptions!$B$14</f>
        <v>-97181.956460262678</v>
      </c>
      <c r="AO15" s="19">
        <f>-AO11*Assumptions!$B$14</f>
        <v>-99125.595589467935</v>
      </c>
      <c r="AP15" s="19">
        <f>-AP11*Assumptions!$B$14</f>
        <v>-101108.10750125728</v>
      </c>
      <c r="AQ15" s="19">
        <f>-AQ11*Assumptions!$B$14</f>
        <v>-103130.26965128242</v>
      </c>
      <c r="AR15" s="19">
        <f>-AR11*Assumptions!$B$14</f>
        <v>-105192.87504430809</v>
      </c>
      <c r="AS15" s="19">
        <f>-AS11*Assumptions!$B$14</f>
        <v>-107296.73254519423</v>
      </c>
      <c r="AT15" s="19">
        <f>-AT11*Assumptions!$B$14</f>
        <v>-109442.66719609812</v>
      </c>
      <c r="AU15" s="19">
        <f>-AU11*Assumptions!$B$14</f>
        <v>-111631.52054002008</v>
      </c>
      <c r="AV15" s="19">
        <f>-AV11*Assumptions!$B$14</f>
        <v>-113864.15095082051</v>
      </c>
      <c r="AW15" s="19">
        <f>-AW11*Assumptions!$B$14</f>
        <v>-116141.43396983689</v>
      </c>
      <c r="AX15" s="19">
        <f>-AX11*Assumptions!$B$14</f>
        <v>-126101.1545764654</v>
      </c>
      <c r="AY15" s="19">
        <f>-AY11*Assumptions!$B$14</f>
        <v>-128623.17766799472</v>
      </c>
      <c r="AZ15" s="19">
        <f>-AZ11*Assumptions!$B$14</f>
        <v>-131195.64122135463</v>
      </c>
      <c r="BA15" s="19">
        <f>-BA11*Assumptions!$B$14</f>
        <v>-133819.5540457817</v>
      </c>
      <c r="BB15" s="19">
        <f>-BB11*Assumptions!$B$14</f>
        <v>-136495.94512669733</v>
      </c>
      <c r="BC15" s="19">
        <f>-BC11*Assumptions!$B$14</f>
        <v>-139225.86402923131</v>
      </c>
      <c r="BD15" s="19">
        <f>-BD11*Assumptions!$B$14</f>
        <v>-142010.38130981594</v>
      </c>
      <c r="BE15" s="19">
        <f>-BE11*Assumptions!$B$14</f>
        <v>-144850.58893601221</v>
      </c>
      <c r="BF15" s="19">
        <f>-BF11*Assumptions!$B$14</f>
        <v>-147747.60071473249</v>
      </c>
      <c r="BG15" s="19">
        <f>-BG11*Assumptions!$B$14</f>
        <v>-150702.55272902711</v>
      </c>
      <c r="BH15" s="19">
        <f>-BH11*Assumptions!$B$14</f>
        <v>-153716.60378360769</v>
      </c>
      <c r="BI15" s="19">
        <f>-BI11*Assumptions!$B$14</f>
        <v>-156790.93585927979</v>
      </c>
    </row>
    <row r="16" spans="1:61" x14ac:dyDescent="0.3">
      <c r="A16" s="4" t="s">
        <v>40</v>
      </c>
      <c r="B16" s="19">
        <f>-B11*Assumptions!$B$15</f>
        <v>-16104.872870557525</v>
      </c>
      <c r="C16" s="19">
        <f>-C11*Assumptions!$B$15</f>
        <v>-16426.970327968673</v>
      </c>
      <c r="D16" s="19">
        <f>-D11*Assumptions!$B$15</f>
        <v>-16755.509734528048</v>
      </c>
      <c r="E16" s="19">
        <f>-E11*Assumptions!$B$15</f>
        <v>-17090.619929218607</v>
      </c>
      <c r="F16" s="19">
        <f>-F11*Assumptions!$B$15</f>
        <v>-17432.432327802981</v>
      </c>
      <c r="G16" s="19">
        <f>-G11*Assumptions!$B$15</f>
        <v>-17781.08097435904</v>
      </c>
      <c r="H16" s="19">
        <f>-H11*Assumptions!$B$15</f>
        <v>-18136.702593846221</v>
      </c>
      <c r="I16" s="19">
        <f>-I11*Assumptions!$B$15</f>
        <v>-18499.436645723141</v>
      </c>
      <c r="J16" s="19">
        <f>-J11*Assumptions!$B$15</f>
        <v>-18869.425378637607</v>
      </c>
      <c r="K16" s="19">
        <f>-K11*Assumptions!$B$15</f>
        <v>-19246.813886210359</v>
      </c>
      <c r="L16" s="19">
        <f>-L11*Assumptions!$B$15</f>
        <v>-19631.750163934568</v>
      </c>
      <c r="M16" s="19">
        <f>-M11*Assumptions!$B$15</f>
        <v>-20024.385167213255</v>
      </c>
      <c r="N16" s="19">
        <f>-N11*Assumptions!$B$15</f>
        <v>-28988.771167003546</v>
      </c>
      <c r="O16" s="19">
        <f>-O11*Assumptions!$B$15</f>
        <v>-29568.546590343612</v>
      </c>
      <c r="P16" s="19">
        <f>-P11*Assumptions!$B$15</f>
        <v>-30159.917522150481</v>
      </c>
      <c r="Q16" s="19">
        <f>-Q11*Assumptions!$B$15</f>
        <v>-30763.115872593491</v>
      </c>
      <c r="R16" s="19">
        <f>-R11*Assumptions!$B$15</f>
        <v>-31378.378190045361</v>
      </c>
      <c r="S16" s="19">
        <f>-S11*Assumptions!$B$15</f>
        <v>-32005.945753846274</v>
      </c>
      <c r="T16" s="19">
        <f>-T11*Assumptions!$B$15</f>
        <v>-32646.064668923202</v>
      </c>
      <c r="U16" s="19">
        <f>-U11*Assumptions!$B$15</f>
        <v>-33298.98596230166</v>
      </c>
      <c r="V16" s="19">
        <f>-V11*Assumptions!$B$15</f>
        <v>-33964.965681547699</v>
      </c>
      <c r="W16" s="19">
        <f>-W11*Assumptions!$B$15</f>
        <v>-34644.264995178652</v>
      </c>
      <c r="X16" s="19">
        <f>-X11*Assumptions!$B$15</f>
        <v>-35337.150295082225</v>
      </c>
      <c r="Y16" s="19">
        <f>-Y11*Assumptions!$B$15</f>
        <v>-36043.893300983866</v>
      </c>
      <c r="Z16" s="19">
        <f>-Z11*Assumptions!$B$15</f>
        <v>-46382.033867205668</v>
      </c>
      <c r="AA16" s="19">
        <f>-AA11*Assumptions!$B$15</f>
        <v>-47309.674544549787</v>
      </c>
      <c r="AB16" s="19">
        <f>-AB11*Assumptions!$B$15</f>
        <v>-48255.868035440777</v>
      </c>
      <c r="AC16" s="19">
        <f>-AC11*Assumptions!$B$15</f>
        <v>-49220.985396149597</v>
      </c>
      <c r="AD16" s="19">
        <f>-AD11*Assumptions!$B$15</f>
        <v>-50205.405104072583</v>
      </c>
      <c r="AE16" s="19">
        <f>-AE11*Assumptions!$B$15</f>
        <v>-51209.513206154035</v>
      </c>
      <c r="AF16" s="19">
        <f>-AF11*Assumptions!$B$15</f>
        <v>-52233.703470277127</v>
      </c>
      <c r="AG16" s="19">
        <f>-AG11*Assumptions!$B$15</f>
        <v>-53278.377539682653</v>
      </c>
      <c r="AH16" s="19">
        <f>-AH11*Assumptions!$B$15</f>
        <v>-54343.945090476307</v>
      </c>
      <c r="AI16" s="19">
        <f>-AI11*Assumptions!$B$15</f>
        <v>-55430.823992285841</v>
      </c>
      <c r="AJ16" s="19">
        <f>-AJ11*Assumptions!$B$15</f>
        <v>-56539.440472131551</v>
      </c>
      <c r="AK16" s="19">
        <f>-AK11*Assumptions!$B$15</f>
        <v>-57670.229281574175</v>
      </c>
      <c r="AL16" s="19">
        <f>-AL11*Assumptions!$B$15</f>
        <v>-67253.949107448221</v>
      </c>
      <c r="AM16" s="19">
        <f>-AM11*Assumptions!$B$15</f>
        <v>-68599.028089597181</v>
      </c>
      <c r="AN16" s="19">
        <f>-AN11*Assumptions!$B$15</f>
        <v>-69971.008651389129</v>
      </c>
      <c r="AO16" s="19">
        <f>-AO11*Assumptions!$B$15</f>
        <v>-71370.428824416915</v>
      </c>
      <c r="AP16" s="19">
        <f>-AP11*Assumptions!$B$15</f>
        <v>-72797.837400905235</v>
      </c>
      <c r="AQ16" s="19">
        <f>-AQ11*Assumptions!$B$15</f>
        <v>-74253.794148923334</v>
      </c>
      <c r="AR16" s="19">
        <f>-AR11*Assumptions!$B$15</f>
        <v>-75738.870031901824</v>
      </c>
      <c r="AS16" s="19">
        <f>-AS11*Assumptions!$B$15</f>
        <v>-77253.647432539845</v>
      </c>
      <c r="AT16" s="19">
        <f>-AT11*Assumptions!$B$15</f>
        <v>-78798.720381190637</v>
      </c>
      <c r="AU16" s="19">
        <f>-AU11*Assumptions!$B$15</f>
        <v>-80374.69478881445</v>
      </c>
      <c r="AV16" s="19">
        <f>-AV11*Assumptions!$B$15</f>
        <v>-81982.188684590757</v>
      </c>
      <c r="AW16" s="19">
        <f>-AW11*Assumptions!$B$15</f>
        <v>-83621.832458282559</v>
      </c>
      <c r="AX16" s="19">
        <f>-AX11*Assumptions!$B$15</f>
        <v>-90792.83129505509</v>
      </c>
      <c r="AY16" s="19">
        <f>-AY11*Assumptions!$B$15</f>
        <v>-92608.687920956203</v>
      </c>
      <c r="AZ16" s="19">
        <f>-AZ11*Assumptions!$B$15</f>
        <v>-94460.861679375332</v>
      </c>
      <c r="BA16" s="19">
        <f>-BA11*Assumptions!$B$15</f>
        <v>-96350.078912962825</v>
      </c>
      <c r="BB16" s="19">
        <f>-BB11*Assumptions!$B$15</f>
        <v>-98277.080491222077</v>
      </c>
      <c r="BC16" s="19">
        <f>-BC11*Assumptions!$B$15</f>
        <v>-100242.62210104654</v>
      </c>
      <c r="BD16" s="19">
        <f>-BD11*Assumptions!$B$15</f>
        <v>-102247.47454306748</v>
      </c>
      <c r="BE16" s="19">
        <f>-BE11*Assumptions!$B$15</f>
        <v>-104292.42403392879</v>
      </c>
      <c r="BF16" s="19">
        <f>-BF11*Assumptions!$B$15</f>
        <v>-106378.27251460738</v>
      </c>
      <c r="BG16" s="19">
        <f>-BG11*Assumptions!$B$15</f>
        <v>-108505.83796489952</v>
      </c>
      <c r="BH16" s="19">
        <f>-BH11*Assumptions!$B$15</f>
        <v>-110675.95472419752</v>
      </c>
      <c r="BI16" s="19">
        <f>-BI11*Assumptions!$B$15</f>
        <v>-112889.47381868145</v>
      </c>
    </row>
    <row r="17" spans="1:61" x14ac:dyDescent="0.3">
      <c r="A17" s="11" t="s">
        <v>85</v>
      </c>
      <c r="B17" s="20">
        <f>SUM(B14:B16)</f>
        <v>-74261.358236459695</v>
      </c>
      <c r="C17" s="20">
        <f>SUM(C14:C16)</f>
        <v>-75746.585401188902</v>
      </c>
      <c r="D17" s="20">
        <f t="shared" ref="D17:BI17" si="4">SUM(D14:D16)</f>
        <v>-77261.517109212669</v>
      </c>
      <c r="E17" s="20">
        <f t="shared" si="4"/>
        <v>-78806.747451396921</v>
      </c>
      <c r="F17" s="20">
        <f t="shared" si="4"/>
        <v>-80382.88240042486</v>
      </c>
      <c r="G17" s="20">
        <f t="shared" si="4"/>
        <v>-81990.540048433351</v>
      </c>
      <c r="H17" s="20">
        <f t="shared" si="4"/>
        <v>-83630.350849402021</v>
      </c>
      <c r="I17" s="20">
        <f t="shared" si="4"/>
        <v>-85302.957866390047</v>
      </c>
      <c r="J17" s="20">
        <f t="shared" si="4"/>
        <v>-87009.017023717854</v>
      </c>
      <c r="K17" s="20">
        <f t="shared" si="4"/>
        <v>-88749.197364192223</v>
      </c>
      <c r="L17" s="20">
        <f t="shared" si="4"/>
        <v>-90524.181311476073</v>
      </c>
      <c r="M17" s="20">
        <f t="shared" si="4"/>
        <v>-92334.664937705573</v>
      </c>
      <c r="N17" s="20">
        <f t="shared" si="4"/>
        <v>-133670.44482562746</v>
      </c>
      <c r="O17" s="20">
        <f t="shared" si="4"/>
        <v>-136343.85372214002</v>
      </c>
      <c r="P17" s="20">
        <f t="shared" si="4"/>
        <v>-139070.73079658279</v>
      </c>
      <c r="Q17" s="20">
        <f t="shared" si="4"/>
        <v>-141852.14541251442</v>
      </c>
      <c r="R17" s="20">
        <f t="shared" si="4"/>
        <v>-144689.18832076475</v>
      </c>
      <c r="S17" s="20">
        <f t="shared" si="4"/>
        <v>-147582.97208718007</v>
      </c>
      <c r="T17" s="20">
        <f t="shared" si="4"/>
        <v>-150534.63152892367</v>
      </c>
      <c r="U17" s="20">
        <f t="shared" si="4"/>
        <v>-153545.32415950211</v>
      </c>
      <c r="V17" s="20">
        <f t="shared" si="4"/>
        <v>-156616.23064269216</v>
      </c>
      <c r="W17" s="20">
        <f t="shared" si="4"/>
        <v>-159748.555255546</v>
      </c>
      <c r="X17" s="20">
        <f t="shared" si="4"/>
        <v>-162943.52636065692</v>
      </c>
      <c r="Y17" s="20">
        <f t="shared" si="4"/>
        <v>-166202.39688787004</v>
      </c>
      <c r="Z17" s="20">
        <f t="shared" si="4"/>
        <v>-213872.71172100393</v>
      </c>
      <c r="AA17" s="20">
        <f t="shared" si="4"/>
        <v>-218150.16595542402</v>
      </c>
      <c r="AB17" s="20">
        <f t="shared" si="4"/>
        <v>-222513.1692745325</v>
      </c>
      <c r="AC17" s="20">
        <f t="shared" si="4"/>
        <v>-226963.43266002313</v>
      </c>
      <c r="AD17" s="20">
        <f t="shared" si="4"/>
        <v>-231502.70131322357</v>
      </c>
      <c r="AE17" s="20">
        <f t="shared" si="4"/>
        <v>-236132.75533948804</v>
      </c>
      <c r="AF17" s="20">
        <f t="shared" si="4"/>
        <v>-240855.41044627788</v>
      </c>
      <c r="AG17" s="20">
        <f t="shared" si="4"/>
        <v>-245672.51865520334</v>
      </c>
      <c r="AH17" s="20">
        <f t="shared" si="4"/>
        <v>-250585.96902830742</v>
      </c>
      <c r="AI17" s="20">
        <f t="shared" si="4"/>
        <v>-255597.68840887363</v>
      </c>
      <c r="AJ17" s="20">
        <f t="shared" si="4"/>
        <v>-260709.64217705105</v>
      </c>
      <c r="AK17" s="20">
        <f t="shared" si="4"/>
        <v>-265923.83502059203</v>
      </c>
      <c r="AL17" s="20">
        <f t="shared" si="4"/>
        <v>-310115.4319954557</v>
      </c>
      <c r="AM17" s="20">
        <f t="shared" si="4"/>
        <v>-316317.74063536478</v>
      </c>
      <c r="AN17" s="20">
        <f t="shared" si="4"/>
        <v>-322644.09544807207</v>
      </c>
      <c r="AO17" s="20">
        <f t="shared" si="4"/>
        <v>-329096.97735703352</v>
      </c>
      <c r="AP17" s="20">
        <f t="shared" si="4"/>
        <v>-335678.91690417414</v>
      </c>
      <c r="AQ17" s="20">
        <f t="shared" si="4"/>
        <v>-342392.4952422576</v>
      </c>
      <c r="AR17" s="20">
        <f t="shared" si="4"/>
        <v>-349240.34514710284</v>
      </c>
      <c r="AS17" s="20">
        <f t="shared" si="4"/>
        <v>-356225.15205004485</v>
      </c>
      <c r="AT17" s="20">
        <f t="shared" si="4"/>
        <v>-363349.65509104577</v>
      </c>
      <c r="AU17" s="20">
        <f t="shared" si="4"/>
        <v>-370616.64819286665</v>
      </c>
      <c r="AV17" s="20">
        <f t="shared" si="4"/>
        <v>-378028.98115672404</v>
      </c>
      <c r="AW17" s="20">
        <f t="shared" si="4"/>
        <v>-385589.5607798585</v>
      </c>
      <c r="AX17" s="20">
        <f t="shared" si="4"/>
        <v>-418655.83319386514</v>
      </c>
      <c r="AY17" s="20">
        <f t="shared" si="4"/>
        <v>-427028.94985774253</v>
      </c>
      <c r="AZ17" s="20">
        <f t="shared" si="4"/>
        <v>-435569.52885489742</v>
      </c>
      <c r="BA17" s="20">
        <f t="shared" si="4"/>
        <v>-444280.91943199525</v>
      </c>
      <c r="BB17" s="20">
        <f t="shared" si="4"/>
        <v>-453166.53782063513</v>
      </c>
      <c r="BC17" s="20">
        <f t="shared" si="4"/>
        <v>-462229.86857704795</v>
      </c>
      <c r="BD17" s="20">
        <f t="shared" si="4"/>
        <v>-471474.46594858891</v>
      </c>
      <c r="BE17" s="20">
        <f t="shared" si="4"/>
        <v>-480903.95526756055</v>
      </c>
      <c r="BF17" s="20">
        <f t="shared" si="4"/>
        <v>-490522.0343729119</v>
      </c>
      <c r="BG17" s="20">
        <f t="shared" si="4"/>
        <v>-500332.47506037005</v>
      </c>
      <c r="BH17" s="20">
        <f t="shared" si="4"/>
        <v>-510339.12456157751</v>
      </c>
      <c r="BI17" s="20">
        <f t="shared" si="4"/>
        <v>-520545.90705280891</v>
      </c>
    </row>
    <row r="18" spans="1:61" x14ac:dyDescent="0.3">
      <c r="A18" s="11" t="s">
        <v>42</v>
      </c>
      <c r="B18" s="20">
        <f>B13+B17</f>
        <v>-7157.721275803342</v>
      </c>
      <c r="C18" s="20">
        <f>C13+C17</f>
        <v>-7300.8757013194263</v>
      </c>
      <c r="D18" s="20">
        <f t="shared" ref="D18:BI18" si="5">D13+D17</f>
        <v>-7446.8932153458009</v>
      </c>
      <c r="E18" s="20">
        <f t="shared" si="5"/>
        <v>-7595.8310796527221</v>
      </c>
      <c r="F18" s="20">
        <f t="shared" si="5"/>
        <v>-7747.7477012457675</v>
      </c>
      <c r="G18" s="20">
        <f t="shared" si="5"/>
        <v>-7902.7026552706811</v>
      </c>
      <c r="H18" s="20">
        <f t="shared" si="5"/>
        <v>-8060.756708376095</v>
      </c>
      <c r="I18" s="20">
        <f t="shared" si="5"/>
        <v>-8221.9718425436149</v>
      </c>
      <c r="J18" s="20">
        <f t="shared" si="5"/>
        <v>-8386.4112793944951</v>
      </c>
      <c r="K18" s="20">
        <f t="shared" si="5"/>
        <v>-8554.1395049823914</v>
      </c>
      <c r="L18" s="20">
        <f t="shared" si="5"/>
        <v>-8725.2222950820433</v>
      </c>
      <c r="M18" s="20">
        <f t="shared" si="5"/>
        <v>-8899.7267409836786</v>
      </c>
      <c r="N18" s="20">
        <f t="shared" si="5"/>
        <v>-12883.898296446016</v>
      </c>
      <c r="O18" s="20">
        <f t="shared" si="5"/>
        <v>-13141.576262374962</v>
      </c>
      <c r="P18" s="20">
        <f t="shared" si="5"/>
        <v>-13404.407787622447</v>
      </c>
      <c r="Q18" s="20">
        <f t="shared" si="5"/>
        <v>-13672.495943374874</v>
      </c>
      <c r="R18" s="20">
        <f t="shared" si="5"/>
        <v>-13945.945862242399</v>
      </c>
      <c r="S18" s="20">
        <f t="shared" si="5"/>
        <v>-14224.864779487252</v>
      </c>
      <c r="T18" s="20">
        <f t="shared" si="5"/>
        <v>-14509.362075076991</v>
      </c>
      <c r="U18" s="20">
        <f t="shared" si="5"/>
        <v>-14799.549316578516</v>
      </c>
      <c r="V18" s="20">
        <f t="shared" si="5"/>
        <v>-15095.540302910085</v>
      </c>
      <c r="W18" s="20">
        <f t="shared" si="5"/>
        <v>-15397.451108968293</v>
      </c>
      <c r="X18" s="20">
        <f t="shared" si="5"/>
        <v>-15705.400131147646</v>
      </c>
      <c r="Y18" s="20">
        <f t="shared" si="5"/>
        <v>-16019.508133770607</v>
      </c>
      <c r="Z18" s="20">
        <f t="shared" si="5"/>
        <v>-20614.237274313637</v>
      </c>
      <c r="AA18" s="20">
        <f t="shared" si="5"/>
        <v>-21026.522019799915</v>
      </c>
      <c r="AB18" s="20">
        <f t="shared" si="5"/>
        <v>-21447.052460195933</v>
      </c>
      <c r="AC18" s="20">
        <f t="shared" si="5"/>
        <v>-21875.993509399792</v>
      </c>
      <c r="AD18" s="20">
        <f t="shared" si="5"/>
        <v>-22313.513379587792</v>
      </c>
      <c r="AE18" s="20">
        <f t="shared" si="5"/>
        <v>-22759.783647179545</v>
      </c>
      <c r="AF18" s="20">
        <f t="shared" si="5"/>
        <v>-23214.979320123181</v>
      </c>
      <c r="AG18" s="20">
        <f t="shared" si="5"/>
        <v>-23679.278906525607</v>
      </c>
      <c r="AH18" s="20">
        <f t="shared" si="5"/>
        <v>-24152.864484656136</v>
      </c>
      <c r="AI18" s="20">
        <f t="shared" si="5"/>
        <v>-24635.921774349292</v>
      </c>
      <c r="AJ18" s="20">
        <f t="shared" si="5"/>
        <v>-25128.640209836245</v>
      </c>
      <c r="AK18" s="20">
        <f t="shared" si="5"/>
        <v>-25631.213014032983</v>
      </c>
      <c r="AL18" s="20">
        <f t="shared" si="5"/>
        <v>-29890.644047754759</v>
      </c>
      <c r="AM18" s="20">
        <f t="shared" si="5"/>
        <v>-30488.456928709871</v>
      </c>
      <c r="AN18" s="20">
        <f t="shared" si="5"/>
        <v>-31098.226067284006</v>
      </c>
      <c r="AO18" s="20">
        <f t="shared" si="5"/>
        <v>-31720.190588629688</v>
      </c>
      <c r="AP18" s="20">
        <f t="shared" si="5"/>
        <v>-32354.594400402275</v>
      </c>
      <c r="AQ18" s="20">
        <f t="shared" si="5"/>
        <v>-33001.686288410332</v>
      </c>
      <c r="AR18" s="20">
        <f t="shared" si="5"/>
        <v>-33661.720014178543</v>
      </c>
      <c r="AS18" s="20">
        <f t="shared" si="5"/>
        <v>-34334.954414462147</v>
      </c>
      <c r="AT18" s="20">
        <f t="shared" si="5"/>
        <v>-35021.653502751433</v>
      </c>
      <c r="AU18" s="20">
        <f t="shared" si="5"/>
        <v>-35722.086572806409</v>
      </c>
      <c r="AV18" s="20">
        <f t="shared" si="5"/>
        <v>-36436.528304262552</v>
      </c>
      <c r="AW18" s="20">
        <f t="shared" si="5"/>
        <v>-37165.258870347869</v>
      </c>
      <c r="AX18" s="20">
        <f t="shared" si="5"/>
        <v>-40352.369464468909</v>
      </c>
      <c r="AY18" s="20">
        <f t="shared" si="5"/>
        <v>-41159.41685375839</v>
      </c>
      <c r="AZ18" s="20">
        <f t="shared" si="5"/>
        <v>-41982.605190833507</v>
      </c>
      <c r="BA18" s="20">
        <f t="shared" si="5"/>
        <v>-42822.25729465019</v>
      </c>
      <c r="BB18" s="20">
        <f t="shared" si="5"/>
        <v>-43678.7024405431</v>
      </c>
      <c r="BC18" s="20">
        <f t="shared" si="5"/>
        <v>-44552.27648935403</v>
      </c>
      <c r="BD18" s="20">
        <f t="shared" si="5"/>
        <v>-45443.322019141051</v>
      </c>
      <c r="BE18" s="20">
        <f t="shared" si="5"/>
        <v>-46352.188459523953</v>
      </c>
      <c r="BF18" s="20">
        <f t="shared" si="5"/>
        <v>-47279.232228714449</v>
      </c>
      <c r="BG18" s="20">
        <f t="shared" si="5"/>
        <v>-48224.816873288713</v>
      </c>
      <c r="BH18" s="20">
        <f t="shared" si="5"/>
        <v>-49189.313210754481</v>
      </c>
      <c r="BI18" s="20">
        <f t="shared" si="5"/>
        <v>-50173.099474969553</v>
      </c>
    </row>
    <row r="19" spans="1:61" x14ac:dyDescent="0.3">
      <c r="A19" s="4" t="s">
        <v>43</v>
      </c>
      <c r="B19" s="19">
        <f>-Assumptions!$B$22/12</f>
        <v>-3333.3333333333335</v>
      </c>
      <c r="C19" s="19">
        <f>-Assumptions!$B$22/12</f>
        <v>-3333.3333333333335</v>
      </c>
      <c r="D19" s="19">
        <f>-Assumptions!$B$22/12</f>
        <v>-3333.3333333333335</v>
      </c>
      <c r="E19" s="19">
        <f>-Assumptions!$B$22/12</f>
        <v>-3333.3333333333335</v>
      </c>
      <c r="F19" s="19">
        <f>-Assumptions!$B$22/12</f>
        <v>-3333.3333333333335</v>
      </c>
      <c r="G19" s="19">
        <f>-Assumptions!$B$22/12</f>
        <v>-3333.3333333333335</v>
      </c>
      <c r="H19" s="19">
        <f>-Assumptions!$B$22/12</f>
        <v>-3333.3333333333335</v>
      </c>
      <c r="I19" s="19">
        <f>-Assumptions!$B$22/12</f>
        <v>-3333.3333333333335</v>
      </c>
      <c r="J19" s="19">
        <f>-Assumptions!$B$22/12</f>
        <v>-3333.3333333333335</v>
      </c>
      <c r="K19" s="19">
        <f>-Assumptions!$B$22/12</f>
        <v>-3333.3333333333335</v>
      </c>
      <c r="L19" s="19">
        <f>-Assumptions!$B$22/12</f>
        <v>-3333.3333333333335</v>
      </c>
      <c r="M19" s="19">
        <f>-Assumptions!$B$22/12</f>
        <v>-3333.3333333333335</v>
      </c>
      <c r="N19" s="19">
        <f>-Assumptions!$B$22/12</f>
        <v>-3333.3333333333335</v>
      </c>
      <c r="O19" s="19">
        <f>-Assumptions!$B$22/12</f>
        <v>-3333.3333333333335</v>
      </c>
      <c r="P19" s="19">
        <f>-Assumptions!$B$22/12</f>
        <v>-3333.3333333333335</v>
      </c>
      <c r="Q19" s="19">
        <f>-Assumptions!$B$22/12</f>
        <v>-3333.3333333333335</v>
      </c>
      <c r="R19" s="19">
        <f>-Assumptions!$B$22/12</f>
        <v>-3333.3333333333335</v>
      </c>
      <c r="S19" s="19">
        <f>-Assumptions!$B$22/12</f>
        <v>-3333.3333333333335</v>
      </c>
      <c r="T19" s="19">
        <f>-Assumptions!$B$22/12</f>
        <v>-3333.3333333333335</v>
      </c>
      <c r="U19" s="19">
        <f>-Assumptions!$B$22/12</f>
        <v>-3333.3333333333335</v>
      </c>
      <c r="V19" s="19">
        <f>-Assumptions!$B$22/12</f>
        <v>-3333.3333333333335</v>
      </c>
      <c r="W19" s="19">
        <f>-Assumptions!$B$22/12</f>
        <v>-3333.3333333333335</v>
      </c>
      <c r="X19" s="19">
        <f>-Assumptions!$B$22/12</f>
        <v>-3333.3333333333335</v>
      </c>
      <c r="Y19" s="19">
        <f>-Assumptions!$B$22/12</f>
        <v>-3333.3333333333335</v>
      </c>
      <c r="Z19" s="19">
        <f>-Assumptions!$B$22/12</f>
        <v>-3333.3333333333335</v>
      </c>
      <c r="AA19" s="19">
        <f>-Assumptions!$B$22/12</f>
        <v>-3333.3333333333335</v>
      </c>
      <c r="AB19" s="19">
        <f>-Assumptions!$B$22/12</f>
        <v>-3333.3333333333335</v>
      </c>
      <c r="AC19" s="19">
        <f>-Assumptions!$B$22/12</f>
        <v>-3333.3333333333335</v>
      </c>
      <c r="AD19" s="19">
        <f>-Assumptions!$B$22/12</f>
        <v>-3333.3333333333335</v>
      </c>
      <c r="AE19" s="19">
        <f>-Assumptions!$B$22/12</f>
        <v>-3333.3333333333335</v>
      </c>
      <c r="AF19" s="19">
        <f>-Assumptions!$B$22/12</f>
        <v>-3333.3333333333335</v>
      </c>
      <c r="AG19" s="19">
        <f>-Assumptions!$B$22/12</f>
        <v>-3333.3333333333335</v>
      </c>
      <c r="AH19" s="19">
        <f>-Assumptions!$B$22/12</f>
        <v>-3333.3333333333335</v>
      </c>
      <c r="AI19" s="19">
        <f>-Assumptions!$B$22/12</f>
        <v>-3333.3333333333335</v>
      </c>
      <c r="AJ19" s="19">
        <f>-Assumptions!$B$22/12</f>
        <v>-3333.3333333333335</v>
      </c>
      <c r="AK19" s="19">
        <f>-Assumptions!$B$22/12</f>
        <v>-3333.3333333333335</v>
      </c>
      <c r="AL19" s="19">
        <f>-Assumptions!$B$22/12</f>
        <v>-3333.3333333333335</v>
      </c>
      <c r="AM19" s="19">
        <f>-Assumptions!$B$22/12</f>
        <v>-3333.3333333333335</v>
      </c>
      <c r="AN19" s="19">
        <f>-Assumptions!$B$22/12</f>
        <v>-3333.3333333333335</v>
      </c>
      <c r="AO19" s="19">
        <f>-Assumptions!$B$22/12</f>
        <v>-3333.3333333333335</v>
      </c>
      <c r="AP19" s="19">
        <f>-Assumptions!$B$22/12</f>
        <v>-3333.3333333333335</v>
      </c>
      <c r="AQ19" s="19">
        <f>-Assumptions!$B$22/12</f>
        <v>-3333.3333333333335</v>
      </c>
      <c r="AR19" s="19">
        <f>-Assumptions!$B$22/12</f>
        <v>-3333.3333333333335</v>
      </c>
      <c r="AS19" s="19">
        <f>-Assumptions!$B$22/12</f>
        <v>-3333.3333333333335</v>
      </c>
      <c r="AT19" s="19">
        <f>-Assumptions!$B$22/12</f>
        <v>-3333.3333333333335</v>
      </c>
      <c r="AU19" s="19">
        <f>-Assumptions!$B$22/12</f>
        <v>-3333.3333333333335</v>
      </c>
      <c r="AV19" s="19">
        <f>-Assumptions!$B$22/12</f>
        <v>-3333.3333333333335</v>
      </c>
      <c r="AW19" s="19">
        <f>-Assumptions!$B$22/12</f>
        <v>-3333.3333333333335</v>
      </c>
      <c r="AX19" s="19">
        <f>-Assumptions!$B$22/12</f>
        <v>-3333.3333333333335</v>
      </c>
      <c r="AY19" s="19">
        <f>-Assumptions!$B$22/12</f>
        <v>-3333.3333333333335</v>
      </c>
      <c r="AZ19" s="19">
        <f>-Assumptions!$B$22/12</f>
        <v>-3333.3333333333335</v>
      </c>
      <c r="BA19" s="19">
        <f>-Assumptions!$B$22/12</f>
        <v>-3333.3333333333335</v>
      </c>
      <c r="BB19" s="19">
        <f>-Assumptions!$B$22/12</f>
        <v>-3333.3333333333335</v>
      </c>
      <c r="BC19" s="19">
        <f>-Assumptions!$B$22/12</f>
        <v>-3333.3333333333335</v>
      </c>
      <c r="BD19" s="19">
        <f>-Assumptions!$B$22/12</f>
        <v>-3333.3333333333335</v>
      </c>
      <c r="BE19" s="19">
        <f>-Assumptions!$B$22/12</f>
        <v>-3333.3333333333335</v>
      </c>
      <c r="BF19" s="19">
        <f>-Assumptions!$B$22/12</f>
        <v>-3333.3333333333335</v>
      </c>
      <c r="BG19" s="19">
        <f>-Assumptions!$B$22/12</f>
        <v>-3333.3333333333335</v>
      </c>
      <c r="BH19" s="19">
        <f>-Assumptions!$B$22/12</f>
        <v>-3333.3333333333335</v>
      </c>
      <c r="BI19" s="19">
        <f>-Assumptions!$B$22/12</f>
        <v>-3333.3333333333335</v>
      </c>
    </row>
    <row r="20" spans="1:61" x14ac:dyDescent="0.3">
      <c r="A20" s="11" t="s">
        <v>86</v>
      </c>
      <c r="B20" s="20">
        <f>B18+B19</f>
        <v>-10491.054609136676</v>
      </c>
      <c r="C20" s="20">
        <f>C18+C19</f>
        <v>-10634.20903465276</v>
      </c>
      <c r="D20" s="20">
        <f t="shared" ref="D20:BI20" si="6">D18+D19</f>
        <v>-10780.226548679135</v>
      </c>
      <c r="E20" s="20">
        <f t="shared" si="6"/>
        <v>-10929.164412986056</v>
      </c>
      <c r="F20" s="20">
        <f t="shared" si="6"/>
        <v>-11081.081034579101</v>
      </c>
      <c r="G20" s="20">
        <f t="shared" si="6"/>
        <v>-11236.035988604015</v>
      </c>
      <c r="H20" s="20">
        <f t="shared" si="6"/>
        <v>-11394.090041709429</v>
      </c>
      <c r="I20" s="20">
        <f t="shared" si="6"/>
        <v>-11555.305175876949</v>
      </c>
      <c r="J20" s="20">
        <f t="shared" si="6"/>
        <v>-11719.744612727829</v>
      </c>
      <c r="K20" s="20">
        <f t="shared" si="6"/>
        <v>-11887.472838315725</v>
      </c>
      <c r="L20" s="20">
        <f t="shared" si="6"/>
        <v>-12058.555628415377</v>
      </c>
      <c r="M20" s="20">
        <f t="shared" si="6"/>
        <v>-12233.060074317013</v>
      </c>
      <c r="N20" s="20">
        <f t="shared" si="6"/>
        <v>-16217.23162977935</v>
      </c>
      <c r="O20" s="20">
        <f t="shared" si="6"/>
        <v>-16474.909595708294</v>
      </c>
      <c r="P20" s="20">
        <f t="shared" si="6"/>
        <v>-16737.741120955779</v>
      </c>
      <c r="Q20" s="20">
        <f t="shared" si="6"/>
        <v>-17005.829276708206</v>
      </c>
      <c r="R20" s="20">
        <f t="shared" si="6"/>
        <v>-17279.279195575731</v>
      </c>
      <c r="S20" s="20">
        <f t="shared" si="6"/>
        <v>-17558.198112820584</v>
      </c>
      <c r="T20" s="20">
        <f t="shared" si="6"/>
        <v>-17842.695408410324</v>
      </c>
      <c r="U20" s="20">
        <f t="shared" si="6"/>
        <v>-18132.882649911848</v>
      </c>
      <c r="V20" s="20">
        <f t="shared" si="6"/>
        <v>-18428.873636243417</v>
      </c>
      <c r="W20" s="20">
        <f t="shared" si="6"/>
        <v>-18730.784442301625</v>
      </c>
      <c r="X20" s="20">
        <f t="shared" si="6"/>
        <v>-19038.733464480978</v>
      </c>
      <c r="Y20" s="20">
        <f t="shared" si="6"/>
        <v>-19352.841467103939</v>
      </c>
      <c r="Z20" s="20">
        <f t="shared" si="6"/>
        <v>-23947.570607646969</v>
      </c>
      <c r="AA20" s="20">
        <f t="shared" si="6"/>
        <v>-24359.855353133247</v>
      </c>
      <c r="AB20" s="20">
        <f t="shared" si="6"/>
        <v>-24780.385793529265</v>
      </c>
      <c r="AC20" s="20">
        <f t="shared" si="6"/>
        <v>-25209.326842733124</v>
      </c>
      <c r="AD20" s="20">
        <f t="shared" si="6"/>
        <v>-25646.846712921124</v>
      </c>
      <c r="AE20" s="20">
        <f t="shared" si="6"/>
        <v>-26093.116980512877</v>
      </c>
      <c r="AF20" s="20">
        <f t="shared" si="6"/>
        <v>-26548.312653456513</v>
      </c>
      <c r="AG20" s="20">
        <f t="shared" si="6"/>
        <v>-27012.61223985894</v>
      </c>
      <c r="AH20" s="20">
        <f t="shared" si="6"/>
        <v>-27486.197817989469</v>
      </c>
      <c r="AI20" s="20">
        <f t="shared" si="6"/>
        <v>-27969.255107682624</v>
      </c>
      <c r="AJ20" s="20">
        <f t="shared" si="6"/>
        <v>-28461.973543169577</v>
      </c>
      <c r="AK20" s="20">
        <f t="shared" si="6"/>
        <v>-28964.546347366315</v>
      </c>
      <c r="AL20" s="20">
        <f t="shared" si="6"/>
        <v>-33223.977381088094</v>
      </c>
      <c r="AM20" s="20">
        <f t="shared" si="6"/>
        <v>-33821.790262043207</v>
      </c>
      <c r="AN20" s="20">
        <f t="shared" si="6"/>
        <v>-34431.559400617341</v>
      </c>
      <c r="AO20" s="20">
        <f t="shared" si="6"/>
        <v>-35053.523921963024</v>
      </c>
      <c r="AP20" s="20">
        <f t="shared" si="6"/>
        <v>-35687.927733735611</v>
      </c>
      <c r="AQ20" s="20">
        <f t="shared" si="6"/>
        <v>-36335.019621743668</v>
      </c>
      <c r="AR20" s="20">
        <f t="shared" si="6"/>
        <v>-36995.053347511879</v>
      </c>
      <c r="AS20" s="20">
        <f t="shared" si="6"/>
        <v>-37668.287747795483</v>
      </c>
      <c r="AT20" s="20">
        <f t="shared" si="6"/>
        <v>-38354.986836084769</v>
      </c>
      <c r="AU20" s="20">
        <f t="shared" si="6"/>
        <v>-39055.419906139745</v>
      </c>
      <c r="AV20" s="20">
        <f t="shared" si="6"/>
        <v>-39769.861637595888</v>
      </c>
      <c r="AW20" s="20">
        <f t="shared" si="6"/>
        <v>-40498.592203681204</v>
      </c>
      <c r="AX20" s="20">
        <f t="shared" si="6"/>
        <v>-43685.702797802245</v>
      </c>
      <c r="AY20" s="20">
        <f t="shared" si="6"/>
        <v>-44492.750187091726</v>
      </c>
      <c r="AZ20" s="20">
        <f t="shared" si="6"/>
        <v>-45315.938524166842</v>
      </c>
      <c r="BA20" s="20">
        <f t="shared" si="6"/>
        <v>-46155.590627983525</v>
      </c>
      <c r="BB20" s="20">
        <f t="shared" si="6"/>
        <v>-47012.035773876436</v>
      </c>
      <c r="BC20" s="20">
        <f t="shared" si="6"/>
        <v>-47885.609822687366</v>
      </c>
      <c r="BD20" s="20">
        <f t="shared" si="6"/>
        <v>-48776.655352474387</v>
      </c>
      <c r="BE20" s="20">
        <f t="shared" si="6"/>
        <v>-49685.521792857289</v>
      </c>
      <c r="BF20" s="20">
        <f t="shared" si="6"/>
        <v>-50612.565562047785</v>
      </c>
      <c r="BG20" s="20">
        <f t="shared" si="6"/>
        <v>-51558.150206622049</v>
      </c>
      <c r="BH20" s="20">
        <f t="shared" si="6"/>
        <v>-52522.646544087816</v>
      </c>
      <c r="BI20" s="20">
        <f t="shared" si="6"/>
        <v>-53506.432808302889</v>
      </c>
    </row>
    <row r="21" spans="1:61" x14ac:dyDescent="0.3">
      <c r="A21" s="11" t="s">
        <v>87</v>
      </c>
      <c r="B21" s="19" cm="1">
        <f t="array" ref="B21">INDEX('Income Statement'!$B$16:$F$16,B$9)/12</f>
        <v>0</v>
      </c>
      <c r="C21" s="19" cm="1">
        <f t="array" ref="C21">INDEX('Income Statement'!$B$16:$F$16,C$9)/12</f>
        <v>0</v>
      </c>
      <c r="D21" s="19" cm="1">
        <f t="array" ref="D21">INDEX('Income Statement'!$B$16:$F$16,D$9)/12</f>
        <v>0</v>
      </c>
      <c r="E21" s="19" cm="1">
        <f t="array" ref="E21">INDEX('Income Statement'!$B$16:$F$16,E$9)/12</f>
        <v>0</v>
      </c>
      <c r="F21" s="19" cm="1">
        <f t="array" ref="F21">INDEX('Income Statement'!$B$16:$F$16,F$9)/12</f>
        <v>0</v>
      </c>
      <c r="G21" s="19" cm="1">
        <f t="array" ref="G21">INDEX('Income Statement'!$B$16:$F$16,G$9)/12</f>
        <v>0</v>
      </c>
      <c r="H21" s="19" cm="1">
        <f t="array" ref="H21">INDEX('Income Statement'!$B$16:$F$16,H$9)/12</f>
        <v>0</v>
      </c>
      <c r="I21" s="19" cm="1">
        <f t="array" ref="I21">INDEX('Income Statement'!$B$16:$F$16,I$9)/12</f>
        <v>0</v>
      </c>
      <c r="J21" s="19" cm="1">
        <f t="array" ref="J21">INDEX('Income Statement'!$B$16:$F$16,J$9)/12</f>
        <v>0</v>
      </c>
      <c r="K21" s="19" cm="1">
        <f t="array" ref="K21">INDEX('Income Statement'!$B$16:$F$16,K$9)/12</f>
        <v>0</v>
      </c>
      <c r="L21" s="19" cm="1">
        <f t="array" ref="L21">INDEX('Income Statement'!$B$16:$F$16,L$9)/12</f>
        <v>0</v>
      </c>
      <c r="M21" s="19" cm="1">
        <f t="array" ref="M21">INDEX('Income Statement'!$B$16:$F$16,M$9)/12</f>
        <v>0</v>
      </c>
      <c r="N21" s="19" cm="1">
        <f t="array" ref="N21">INDEX('Income Statement'!$B$16:$F$16,N$9)/12</f>
        <v>0</v>
      </c>
      <c r="O21" s="19" cm="1">
        <f t="array" ref="O21">INDEX('Income Statement'!$B$16:$F$16,O$9)/12</f>
        <v>0</v>
      </c>
      <c r="P21" s="19" cm="1">
        <f t="array" ref="P21">INDEX('Income Statement'!$B$16:$F$16,P$9)/12</f>
        <v>0</v>
      </c>
      <c r="Q21" s="19" cm="1">
        <f t="array" ref="Q21">INDEX('Income Statement'!$B$16:$F$16,Q$9)/12</f>
        <v>0</v>
      </c>
      <c r="R21" s="19" cm="1">
        <f t="array" ref="R21">INDEX('Income Statement'!$B$16:$F$16,R$9)/12</f>
        <v>0</v>
      </c>
      <c r="S21" s="19" cm="1">
        <f t="array" ref="S21">INDEX('Income Statement'!$B$16:$F$16,S$9)/12</f>
        <v>0</v>
      </c>
      <c r="T21" s="19" cm="1">
        <f t="array" ref="T21">INDEX('Income Statement'!$B$16:$F$16,T$9)/12</f>
        <v>0</v>
      </c>
      <c r="U21" s="19" cm="1">
        <f t="array" ref="U21">INDEX('Income Statement'!$B$16:$F$16,U$9)/12</f>
        <v>0</v>
      </c>
      <c r="V21" s="19" cm="1">
        <f t="array" ref="V21">INDEX('Income Statement'!$B$16:$F$16,V$9)/12</f>
        <v>0</v>
      </c>
      <c r="W21" s="19" cm="1">
        <f t="array" ref="W21">INDEX('Income Statement'!$B$16:$F$16,W$9)/12</f>
        <v>0</v>
      </c>
      <c r="X21" s="19" cm="1">
        <f t="array" ref="X21">INDEX('Income Statement'!$B$16:$F$16,X$9)/12</f>
        <v>0</v>
      </c>
      <c r="Y21" s="19" cm="1">
        <f t="array" ref="Y21">INDEX('Income Statement'!$B$16:$F$16,Y$9)/12</f>
        <v>0</v>
      </c>
      <c r="Z21" s="19" cm="1">
        <f t="array" ref="Z21">INDEX('Income Statement'!$B$16:$F$16,Z$9)/12</f>
        <v>0</v>
      </c>
      <c r="AA21" s="19" cm="1">
        <f t="array" ref="AA21">INDEX('Income Statement'!$B$16:$F$16,AA$9)/12</f>
        <v>0</v>
      </c>
      <c r="AB21" s="19" cm="1">
        <f t="array" ref="AB21">INDEX('Income Statement'!$B$16:$F$16,AB$9)/12</f>
        <v>0</v>
      </c>
      <c r="AC21" s="19" cm="1">
        <f t="array" ref="AC21">INDEX('Income Statement'!$B$16:$F$16,AC$9)/12</f>
        <v>0</v>
      </c>
      <c r="AD21" s="19" cm="1">
        <f t="array" ref="AD21">INDEX('Income Statement'!$B$16:$F$16,AD$9)/12</f>
        <v>0</v>
      </c>
      <c r="AE21" s="19" cm="1">
        <f t="array" ref="AE21">INDEX('Income Statement'!$B$16:$F$16,AE$9)/12</f>
        <v>0</v>
      </c>
      <c r="AF21" s="19" cm="1">
        <f t="array" ref="AF21">INDEX('Income Statement'!$B$16:$F$16,AF$9)/12</f>
        <v>0</v>
      </c>
      <c r="AG21" s="19" cm="1">
        <f t="array" ref="AG21">INDEX('Income Statement'!$B$16:$F$16,AG$9)/12</f>
        <v>0</v>
      </c>
      <c r="AH21" s="19" cm="1">
        <f t="array" ref="AH21">INDEX('Income Statement'!$B$16:$F$16,AH$9)/12</f>
        <v>0</v>
      </c>
      <c r="AI21" s="19" cm="1">
        <f t="array" ref="AI21">INDEX('Income Statement'!$B$16:$F$16,AI$9)/12</f>
        <v>0</v>
      </c>
      <c r="AJ21" s="19" cm="1">
        <f t="array" ref="AJ21">INDEX('Income Statement'!$B$16:$F$16,AJ$9)/12</f>
        <v>0</v>
      </c>
      <c r="AK21" s="19" cm="1">
        <f t="array" ref="AK21">INDEX('Income Statement'!$B$16:$F$16,AK$9)/12</f>
        <v>0</v>
      </c>
      <c r="AL21" s="19" cm="1">
        <f t="array" ref="AL21">INDEX('Income Statement'!$B$16:$F$16,AL$9)/12</f>
        <v>0</v>
      </c>
      <c r="AM21" s="19" cm="1">
        <f t="array" ref="AM21">INDEX('Income Statement'!$B$16:$F$16,AM$9)/12</f>
        <v>0</v>
      </c>
      <c r="AN21" s="19" cm="1">
        <f t="array" ref="AN21">INDEX('Income Statement'!$B$16:$F$16,AN$9)/12</f>
        <v>0</v>
      </c>
      <c r="AO21" s="19" cm="1">
        <f t="array" ref="AO21">INDEX('Income Statement'!$B$16:$F$16,AO$9)/12</f>
        <v>0</v>
      </c>
      <c r="AP21" s="19" cm="1">
        <f t="array" ref="AP21">INDEX('Income Statement'!$B$16:$F$16,AP$9)/12</f>
        <v>0</v>
      </c>
      <c r="AQ21" s="19" cm="1">
        <f t="array" ref="AQ21">INDEX('Income Statement'!$B$16:$F$16,AQ$9)/12</f>
        <v>0</v>
      </c>
      <c r="AR21" s="19" cm="1">
        <f t="array" ref="AR21">INDEX('Income Statement'!$B$16:$F$16,AR$9)/12</f>
        <v>0</v>
      </c>
      <c r="AS21" s="19" cm="1">
        <f t="array" ref="AS21">INDEX('Income Statement'!$B$16:$F$16,AS$9)/12</f>
        <v>0</v>
      </c>
      <c r="AT21" s="19" cm="1">
        <f t="array" ref="AT21">INDEX('Income Statement'!$B$16:$F$16,AT$9)/12</f>
        <v>0</v>
      </c>
      <c r="AU21" s="19" cm="1">
        <f t="array" ref="AU21">INDEX('Income Statement'!$B$16:$F$16,AU$9)/12</f>
        <v>0</v>
      </c>
      <c r="AV21" s="19" cm="1">
        <f t="array" ref="AV21">INDEX('Income Statement'!$B$16:$F$16,AV$9)/12</f>
        <v>0</v>
      </c>
      <c r="AW21" s="19" cm="1">
        <f t="array" ref="AW21">INDEX('Income Statement'!$B$16:$F$16,AW$9)/12</f>
        <v>0</v>
      </c>
      <c r="AX21" s="19" cm="1">
        <f t="array" ref="AX21">INDEX('Income Statement'!$B$16:$F$16,AX$9)/12</f>
        <v>0</v>
      </c>
      <c r="AY21" s="19" cm="1">
        <f t="array" ref="AY21">INDEX('Income Statement'!$B$16:$F$16,AY$9)/12</f>
        <v>0</v>
      </c>
      <c r="AZ21" s="19" cm="1">
        <f t="array" ref="AZ21">INDEX('Income Statement'!$B$16:$F$16,AZ$9)/12</f>
        <v>0</v>
      </c>
      <c r="BA21" s="19" cm="1">
        <f t="array" ref="BA21">INDEX('Income Statement'!$B$16:$F$16,BA$9)/12</f>
        <v>0</v>
      </c>
      <c r="BB21" s="19" cm="1">
        <f t="array" ref="BB21">INDEX('Income Statement'!$B$16:$F$16,BB$9)/12</f>
        <v>0</v>
      </c>
      <c r="BC21" s="19" cm="1">
        <f t="array" ref="BC21">INDEX('Income Statement'!$B$16:$F$16,BC$9)/12</f>
        <v>0</v>
      </c>
      <c r="BD21" s="19" cm="1">
        <f t="array" ref="BD21">INDEX('Income Statement'!$B$16:$F$16,BD$9)/12</f>
        <v>0</v>
      </c>
      <c r="BE21" s="19" cm="1">
        <f t="array" ref="BE21">INDEX('Income Statement'!$B$16:$F$16,BE$9)/12</f>
        <v>0</v>
      </c>
      <c r="BF21" s="19" cm="1">
        <f t="array" ref="BF21">INDEX('Income Statement'!$B$16:$F$16,BF$9)/12</f>
        <v>0</v>
      </c>
      <c r="BG21" s="19" cm="1">
        <f t="array" ref="BG21">INDEX('Income Statement'!$B$16:$F$16,BG$9)/12</f>
        <v>0</v>
      </c>
      <c r="BH21" s="19" cm="1">
        <f t="array" ref="BH21">INDEX('Income Statement'!$B$16:$F$16,BH$9)/12</f>
        <v>0</v>
      </c>
      <c r="BI21" s="19" cm="1">
        <f t="array" ref="BI21">INDEX('Income Statement'!$B$16:$F$16,BI$9)/12</f>
        <v>0</v>
      </c>
    </row>
    <row r="22" spans="1:61" x14ac:dyDescent="0.3">
      <c r="A22" s="11" t="s">
        <v>46</v>
      </c>
      <c r="B22" s="20">
        <f>B20+B21</f>
        <v>-10491.054609136676</v>
      </c>
      <c r="C22" s="20">
        <f>C20+C21</f>
        <v>-10634.20903465276</v>
      </c>
      <c r="D22" s="20">
        <f t="shared" ref="D22:BI22" si="7">D20+D21</f>
        <v>-10780.226548679135</v>
      </c>
      <c r="E22" s="20">
        <f t="shared" si="7"/>
        <v>-10929.164412986056</v>
      </c>
      <c r="F22" s="20">
        <f t="shared" si="7"/>
        <v>-11081.081034579101</v>
      </c>
      <c r="G22" s="20">
        <f t="shared" si="7"/>
        <v>-11236.035988604015</v>
      </c>
      <c r="H22" s="20">
        <f t="shared" si="7"/>
        <v>-11394.090041709429</v>
      </c>
      <c r="I22" s="20">
        <f t="shared" si="7"/>
        <v>-11555.305175876949</v>
      </c>
      <c r="J22" s="20">
        <f t="shared" si="7"/>
        <v>-11719.744612727829</v>
      </c>
      <c r="K22" s="20">
        <f t="shared" si="7"/>
        <v>-11887.472838315725</v>
      </c>
      <c r="L22" s="20">
        <f t="shared" si="7"/>
        <v>-12058.555628415377</v>
      </c>
      <c r="M22" s="20">
        <f t="shared" si="7"/>
        <v>-12233.060074317013</v>
      </c>
      <c r="N22" s="20">
        <f t="shared" si="7"/>
        <v>-16217.23162977935</v>
      </c>
      <c r="O22" s="20">
        <f t="shared" si="7"/>
        <v>-16474.909595708294</v>
      </c>
      <c r="P22" s="20">
        <f t="shared" si="7"/>
        <v>-16737.741120955779</v>
      </c>
      <c r="Q22" s="20">
        <f t="shared" si="7"/>
        <v>-17005.829276708206</v>
      </c>
      <c r="R22" s="20">
        <f t="shared" si="7"/>
        <v>-17279.279195575731</v>
      </c>
      <c r="S22" s="20">
        <f t="shared" si="7"/>
        <v>-17558.198112820584</v>
      </c>
      <c r="T22" s="20">
        <f t="shared" si="7"/>
        <v>-17842.695408410324</v>
      </c>
      <c r="U22" s="20">
        <f t="shared" si="7"/>
        <v>-18132.882649911848</v>
      </c>
      <c r="V22" s="20">
        <f t="shared" si="7"/>
        <v>-18428.873636243417</v>
      </c>
      <c r="W22" s="20">
        <f t="shared" si="7"/>
        <v>-18730.784442301625</v>
      </c>
      <c r="X22" s="20">
        <f t="shared" si="7"/>
        <v>-19038.733464480978</v>
      </c>
      <c r="Y22" s="20">
        <f t="shared" si="7"/>
        <v>-19352.841467103939</v>
      </c>
      <c r="Z22" s="20">
        <f t="shared" si="7"/>
        <v>-23947.570607646969</v>
      </c>
      <c r="AA22" s="20">
        <f t="shared" si="7"/>
        <v>-24359.855353133247</v>
      </c>
      <c r="AB22" s="20">
        <f t="shared" si="7"/>
        <v>-24780.385793529265</v>
      </c>
      <c r="AC22" s="20">
        <f t="shared" si="7"/>
        <v>-25209.326842733124</v>
      </c>
      <c r="AD22" s="20">
        <f t="shared" si="7"/>
        <v>-25646.846712921124</v>
      </c>
      <c r="AE22" s="20">
        <f t="shared" si="7"/>
        <v>-26093.116980512877</v>
      </c>
      <c r="AF22" s="20">
        <f t="shared" si="7"/>
        <v>-26548.312653456513</v>
      </c>
      <c r="AG22" s="20">
        <f t="shared" si="7"/>
        <v>-27012.61223985894</v>
      </c>
      <c r="AH22" s="20">
        <f t="shared" si="7"/>
        <v>-27486.197817989469</v>
      </c>
      <c r="AI22" s="20">
        <f t="shared" si="7"/>
        <v>-27969.255107682624</v>
      </c>
      <c r="AJ22" s="20">
        <f t="shared" si="7"/>
        <v>-28461.973543169577</v>
      </c>
      <c r="AK22" s="20">
        <f t="shared" si="7"/>
        <v>-28964.546347366315</v>
      </c>
      <c r="AL22" s="20">
        <f t="shared" si="7"/>
        <v>-33223.977381088094</v>
      </c>
      <c r="AM22" s="20">
        <f t="shared" si="7"/>
        <v>-33821.790262043207</v>
      </c>
      <c r="AN22" s="20">
        <f t="shared" si="7"/>
        <v>-34431.559400617341</v>
      </c>
      <c r="AO22" s="20">
        <f t="shared" si="7"/>
        <v>-35053.523921963024</v>
      </c>
      <c r="AP22" s="20">
        <f t="shared" si="7"/>
        <v>-35687.927733735611</v>
      </c>
      <c r="AQ22" s="20">
        <f t="shared" si="7"/>
        <v>-36335.019621743668</v>
      </c>
      <c r="AR22" s="20">
        <f t="shared" si="7"/>
        <v>-36995.053347511879</v>
      </c>
      <c r="AS22" s="20">
        <f t="shared" si="7"/>
        <v>-37668.287747795483</v>
      </c>
      <c r="AT22" s="20">
        <f t="shared" si="7"/>
        <v>-38354.986836084769</v>
      </c>
      <c r="AU22" s="20">
        <f t="shared" si="7"/>
        <v>-39055.419906139745</v>
      </c>
      <c r="AV22" s="20">
        <f t="shared" si="7"/>
        <v>-39769.861637595888</v>
      </c>
      <c r="AW22" s="20">
        <f t="shared" si="7"/>
        <v>-40498.592203681204</v>
      </c>
      <c r="AX22" s="20">
        <f t="shared" si="7"/>
        <v>-43685.702797802245</v>
      </c>
      <c r="AY22" s="20">
        <f t="shared" si="7"/>
        <v>-44492.750187091726</v>
      </c>
      <c r="AZ22" s="20">
        <f t="shared" si="7"/>
        <v>-45315.938524166842</v>
      </c>
      <c r="BA22" s="20">
        <f t="shared" si="7"/>
        <v>-46155.590627983525</v>
      </c>
      <c r="BB22" s="20">
        <f t="shared" si="7"/>
        <v>-47012.035773876436</v>
      </c>
      <c r="BC22" s="20">
        <f t="shared" si="7"/>
        <v>-47885.609822687366</v>
      </c>
      <c r="BD22" s="20">
        <f t="shared" si="7"/>
        <v>-48776.655352474387</v>
      </c>
      <c r="BE22" s="20">
        <f t="shared" si="7"/>
        <v>-49685.521792857289</v>
      </c>
      <c r="BF22" s="20">
        <f t="shared" si="7"/>
        <v>-50612.565562047785</v>
      </c>
      <c r="BG22" s="20">
        <f t="shared" si="7"/>
        <v>-51558.150206622049</v>
      </c>
      <c r="BH22" s="20">
        <f t="shared" si="7"/>
        <v>-52522.646544087816</v>
      </c>
      <c r="BI22" s="20">
        <f t="shared" si="7"/>
        <v>-53506.432808302889</v>
      </c>
    </row>
    <row r="23" spans="1:61" x14ac:dyDescent="0.3">
      <c r="A23" s="23" t="s">
        <v>110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</row>
    <row r="24" spans="1:61" x14ac:dyDescent="0.3">
      <c r="A24" s="11" t="s">
        <v>111</v>
      </c>
      <c r="B24" s="19">
        <f>Assumptions!$B$22/12</f>
        <v>3333.3333333333335</v>
      </c>
      <c r="C24" s="19">
        <f>Assumptions!$B$22/12</f>
        <v>3333.3333333333335</v>
      </c>
      <c r="D24" s="19">
        <f>Assumptions!$B$22/12</f>
        <v>3333.3333333333335</v>
      </c>
      <c r="E24" s="19">
        <f>Assumptions!$B$22/12</f>
        <v>3333.3333333333335</v>
      </c>
      <c r="F24" s="19">
        <f>Assumptions!$B$22/12</f>
        <v>3333.3333333333335</v>
      </c>
      <c r="G24" s="19">
        <f>Assumptions!$B$22/12</f>
        <v>3333.3333333333335</v>
      </c>
      <c r="H24" s="19">
        <f>Assumptions!$B$22/12</f>
        <v>3333.3333333333335</v>
      </c>
      <c r="I24" s="19">
        <f>Assumptions!$B$22/12</f>
        <v>3333.3333333333335</v>
      </c>
      <c r="J24" s="19">
        <f>Assumptions!$B$22/12</f>
        <v>3333.3333333333335</v>
      </c>
      <c r="K24" s="19">
        <f>Assumptions!$B$22/12</f>
        <v>3333.3333333333335</v>
      </c>
      <c r="L24" s="19">
        <f>Assumptions!$B$22/12</f>
        <v>3333.3333333333335</v>
      </c>
      <c r="M24" s="19">
        <f>Assumptions!$B$22/12</f>
        <v>3333.3333333333335</v>
      </c>
      <c r="N24" s="19">
        <f>Assumptions!$B$22/12</f>
        <v>3333.3333333333335</v>
      </c>
      <c r="O24" s="19">
        <f>Assumptions!$B$22/12</f>
        <v>3333.3333333333335</v>
      </c>
      <c r="P24" s="19">
        <f>Assumptions!$B$22/12</f>
        <v>3333.3333333333335</v>
      </c>
      <c r="Q24" s="19">
        <f>Assumptions!$B$22/12</f>
        <v>3333.3333333333335</v>
      </c>
      <c r="R24" s="19">
        <f>Assumptions!$B$22/12</f>
        <v>3333.3333333333335</v>
      </c>
      <c r="S24" s="19">
        <f>Assumptions!$B$22/12</f>
        <v>3333.3333333333335</v>
      </c>
      <c r="T24" s="19">
        <f>Assumptions!$B$22/12</f>
        <v>3333.3333333333335</v>
      </c>
      <c r="U24" s="19">
        <f>Assumptions!$B$22/12</f>
        <v>3333.3333333333335</v>
      </c>
      <c r="V24" s="19">
        <f>Assumptions!$B$22/12</f>
        <v>3333.3333333333335</v>
      </c>
      <c r="W24" s="19">
        <f>Assumptions!$B$22/12</f>
        <v>3333.3333333333335</v>
      </c>
      <c r="X24" s="19">
        <f>Assumptions!$B$22/12</f>
        <v>3333.3333333333335</v>
      </c>
      <c r="Y24" s="19">
        <f>Assumptions!$B$22/12</f>
        <v>3333.3333333333335</v>
      </c>
      <c r="Z24" s="19">
        <f>Assumptions!$B$22/12</f>
        <v>3333.3333333333335</v>
      </c>
      <c r="AA24" s="19">
        <f>Assumptions!$B$22/12</f>
        <v>3333.3333333333335</v>
      </c>
      <c r="AB24" s="19">
        <f>Assumptions!$B$22/12</f>
        <v>3333.3333333333335</v>
      </c>
      <c r="AC24" s="19">
        <f>Assumptions!$B$22/12</f>
        <v>3333.3333333333335</v>
      </c>
      <c r="AD24" s="19">
        <f>Assumptions!$B$22/12</f>
        <v>3333.3333333333335</v>
      </c>
      <c r="AE24" s="19">
        <f>Assumptions!$B$22/12</f>
        <v>3333.3333333333335</v>
      </c>
      <c r="AF24" s="19">
        <f>Assumptions!$B$22/12</f>
        <v>3333.3333333333335</v>
      </c>
      <c r="AG24" s="19">
        <f>Assumptions!$B$22/12</f>
        <v>3333.3333333333335</v>
      </c>
      <c r="AH24" s="19">
        <f>Assumptions!$B$22/12</f>
        <v>3333.3333333333335</v>
      </c>
      <c r="AI24" s="19">
        <f>Assumptions!$B$22/12</f>
        <v>3333.3333333333335</v>
      </c>
      <c r="AJ24" s="19">
        <f>Assumptions!$B$22/12</f>
        <v>3333.3333333333335</v>
      </c>
      <c r="AK24" s="19">
        <f>Assumptions!$B$22/12</f>
        <v>3333.3333333333335</v>
      </c>
      <c r="AL24" s="19">
        <f>Assumptions!$B$22/12</f>
        <v>3333.3333333333335</v>
      </c>
      <c r="AM24" s="19">
        <f>Assumptions!$B$22/12</f>
        <v>3333.3333333333335</v>
      </c>
      <c r="AN24" s="19">
        <f>Assumptions!$B$22/12</f>
        <v>3333.3333333333335</v>
      </c>
      <c r="AO24" s="19">
        <f>Assumptions!$B$22/12</f>
        <v>3333.3333333333335</v>
      </c>
      <c r="AP24" s="19">
        <f>Assumptions!$B$22/12</f>
        <v>3333.3333333333335</v>
      </c>
      <c r="AQ24" s="19">
        <f>Assumptions!$B$22/12</f>
        <v>3333.3333333333335</v>
      </c>
      <c r="AR24" s="19">
        <f>Assumptions!$B$22/12</f>
        <v>3333.3333333333335</v>
      </c>
      <c r="AS24" s="19">
        <f>Assumptions!$B$22/12</f>
        <v>3333.3333333333335</v>
      </c>
      <c r="AT24" s="19">
        <f>Assumptions!$B$22/12</f>
        <v>3333.3333333333335</v>
      </c>
      <c r="AU24" s="19">
        <f>Assumptions!$B$22/12</f>
        <v>3333.3333333333335</v>
      </c>
      <c r="AV24" s="19">
        <f>Assumptions!$B$22/12</f>
        <v>3333.3333333333335</v>
      </c>
      <c r="AW24" s="19">
        <f>Assumptions!$B$22/12</f>
        <v>3333.3333333333335</v>
      </c>
      <c r="AX24" s="19">
        <f>Assumptions!$B$22/12</f>
        <v>3333.3333333333335</v>
      </c>
      <c r="AY24" s="19">
        <f>Assumptions!$B$22/12</f>
        <v>3333.3333333333335</v>
      </c>
      <c r="AZ24" s="19">
        <f>Assumptions!$B$22/12</f>
        <v>3333.3333333333335</v>
      </c>
      <c r="BA24" s="19">
        <f>Assumptions!$B$22/12</f>
        <v>3333.3333333333335</v>
      </c>
      <c r="BB24" s="19">
        <f>Assumptions!$B$22/12</f>
        <v>3333.3333333333335</v>
      </c>
      <c r="BC24" s="19">
        <f>Assumptions!$B$22/12</f>
        <v>3333.3333333333335</v>
      </c>
      <c r="BD24" s="19">
        <f>Assumptions!$B$22/12</f>
        <v>3333.3333333333335</v>
      </c>
      <c r="BE24" s="19">
        <f>Assumptions!$B$22/12</f>
        <v>3333.3333333333335</v>
      </c>
      <c r="BF24" s="19">
        <f>Assumptions!$B$22/12</f>
        <v>3333.3333333333335</v>
      </c>
      <c r="BG24" s="19">
        <f>Assumptions!$B$22/12</f>
        <v>3333.3333333333335</v>
      </c>
      <c r="BH24" s="19">
        <f>Assumptions!$B$22/12</f>
        <v>3333.3333333333335</v>
      </c>
      <c r="BI24" s="19">
        <f>Assumptions!$B$22/12</f>
        <v>3333.3333333333335</v>
      </c>
    </row>
    <row r="25" spans="1:61" x14ac:dyDescent="0.3">
      <c r="A25" s="11" t="s">
        <v>88</v>
      </c>
      <c r="B25" s="19" cm="1">
        <f t="array" ref="B25">(INDEX('Cash Flow'!$B$7:$F$7,B$9)+INDEX('Cash Flow'!$B$8:$F$8,B$9)+INDEX('Cash Flow'!$B$9:$F$9,B$9))/12</f>
        <v>1726.0273972602761</v>
      </c>
      <c r="C25" s="19" cm="1">
        <f t="array" ref="C25">(INDEX('Cash Flow'!$B$7:$F$7,C$9)+INDEX('Cash Flow'!$B$8:$F$8,C$9)+INDEX('Cash Flow'!$B$9:$F$9,C$9))/12</f>
        <v>1726.0273972602761</v>
      </c>
      <c r="D25" s="19" cm="1">
        <f t="array" ref="D25">(INDEX('Cash Flow'!$B$7:$F$7,D$9)+INDEX('Cash Flow'!$B$8:$F$8,D$9)+INDEX('Cash Flow'!$B$9:$F$9,D$9))/12</f>
        <v>1726.0273972602761</v>
      </c>
      <c r="E25" s="19" cm="1">
        <f t="array" ref="E25">(INDEX('Cash Flow'!$B$7:$F$7,E$9)+INDEX('Cash Flow'!$B$8:$F$8,E$9)+INDEX('Cash Flow'!$B$9:$F$9,E$9))/12</f>
        <v>1726.0273972602761</v>
      </c>
      <c r="F25" s="19" cm="1">
        <f t="array" ref="F25">(INDEX('Cash Flow'!$B$7:$F$7,F$9)+INDEX('Cash Flow'!$B$8:$F$8,F$9)+INDEX('Cash Flow'!$B$9:$F$9,F$9))/12</f>
        <v>1726.0273972602761</v>
      </c>
      <c r="G25" s="19" cm="1">
        <f t="array" ref="G25">(INDEX('Cash Flow'!$B$7:$F$7,G$9)+INDEX('Cash Flow'!$B$8:$F$8,G$9)+INDEX('Cash Flow'!$B$9:$F$9,G$9))/12</f>
        <v>1726.0273972602761</v>
      </c>
      <c r="H25" s="19" cm="1">
        <f t="array" ref="H25">(INDEX('Cash Flow'!$B$7:$F$7,H$9)+INDEX('Cash Flow'!$B$8:$F$8,H$9)+INDEX('Cash Flow'!$B$9:$F$9,H$9))/12</f>
        <v>1726.0273972602761</v>
      </c>
      <c r="I25" s="19" cm="1">
        <f t="array" ref="I25">(INDEX('Cash Flow'!$B$7:$F$7,I$9)+INDEX('Cash Flow'!$B$8:$F$8,I$9)+INDEX('Cash Flow'!$B$9:$F$9,I$9))/12</f>
        <v>1726.0273972602761</v>
      </c>
      <c r="J25" s="19" cm="1">
        <f t="array" ref="J25">(INDEX('Cash Flow'!$B$7:$F$7,J$9)+INDEX('Cash Flow'!$B$8:$F$8,J$9)+INDEX('Cash Flow'!$B$9:$F$9,J$9))/12</f>
        <v>1726.0273972602761</v>
      </c>
      <c r="K25" s="19" cm="1">
        <f t="array" ref="K25">(INDEX('Cash Flow'!$B$7:$F$7,K$9)+INDEX('Cash Flow'!$B$8:$F$8,K$9)+INDEX('Cash Flow'!$B$9:$F$9,K$9))/12</f>
        <v>1726.0273972602761</v>
      </c>
      <c r="L25" s="19" cm="1">
        <f t="array" ref="L25">(INDEX('Cash Flow'!$B$7:$F$7,L$9)+INDEX('Cash Flow'!$B$8:$F$8,L$9)+INDEX('Cash Flow'!$B$9:$F$9,L$9))/12</f>
        <v>1726.0273972602761</v>
      </c>
      <c r="M25" s="19" cm="1">
        <f t="array" ref="M25">(INDEX('Cash Flow'!$B$7:$F$7,M$9)+INDEX('Cash Flow'!$B$8:$F$8,M$9)+INDEX('Cash Flow'!$B$9:$F$9,M$9))/12</f>
        <v>1726.0273972602761</v>
      </c>
      <c r="N25" s="19" cm="1">
        <f t="array" ref="N25">(INDEX('Cash Flow'!$B$7:$F$7,N$9)+INDEX('Cash Flow'!$B$8:$F$8,N$9)+INDEX('Cash Flow'!$B$9:$F$9,N$9))/12</f>
        <v>1380.8219178082193</v>
      </c>
      <c r="O25" s="19" cm="1">
        <f t="array" ref="O25">(INDEX('Cash Flow'!$B$7:$F$7,O$9)+INDEX('Cash Flow'!$B$8:$F$8,O$9)+INDEX('Cash Flow'!$B$9:$F$9,O$9))/12</f>
        <v>1380.8219178082193</v>
      </c>
      <c r="P25" s="19" cm="1">
        <f t="array" ref="P25">(INDEX('Cash Flow'!$B$7:$F$7,P$9)+INDEX('Cash Flow'!$B$8:$F$8,P$9)+INDEX('Cash Flow'!$B$9:$F$9,P$9))/12</f>
        <v>1380.8219178082193</v>
      </c>
      <c r="Q25" s="19" cm="1">
        <f t="array" ref="Q25">(INDEX('Cash Flow'!$B$7:$F$7,Q$9)+INDEX('Cash Flow'!$B$8:$F$8,Q$9)+INDEX('Cash Flow'!$B$9:$F$9,Q$9))/12</f>
        <v>1380.8219178082193</v>
      </c>
      <c r="R25" s="19" cm="1">
        <f t="array" ref="R25">(INDEX('Cash Flow'!$B$7:$F$7,R$9)+INDEX('Cash Flow'!$B$8:$F$8,R$9)+INDEX('Cash Flow'!$B$9:$F$9,R$9))/12</f>
        <v>1380.8219178082193</v>
      </c>
      <c r="S25" s="19" cm="1">
        <f t="array" ref="S25">(INDEX('Cash Flow'!$B$7:$F$7,S$9)+INDEX('Cash Flow'!$B$8:$F$8,S$9)+INDEX('Cash Flow'!$B$9:$F$9,S$9))/12</f>
        <v>1380.8219178082193</v>
      </c>
      <c r="T25" s="19" cm="1">
        <f t="array" ref="T25">(INDEX('Cash Flow'!$B$7:$F$7,T$9)+INDEX('Cash Flow'!$B$8:$F$8,T$9)+INDEX('Cash Flow'!$B$9:$F$9,T$9))/12</f>
        <v>1380.8219178082193</v>
      </c>
      <c r="U25" s="19" cm="1">
        <f t="array" ref="U25">(INDEX('Cash Flow'!$B$7:$F$7,U$9)+INDEX('Cash Flow'!$B$8:$F$8,U$9)+INDEX('Cash Flow'!$B$9:$F$9,U$9))/12</f>
        <v>1380.8219178082193</v>
      </c>
      <c r="V25" s="19" cm="1">
        <f t="array" ref="V25">(INDEX('Cash Flow'!$B$7:$F$7,V$9)+INDEX('Cash Flow'!$B$8:$F$8,V$9)+INDEX('Cash Flow'!$B$9:$F$9,V$9))/12</f>
        <v>1380.8219178082193</v>
      </c>
      <c r="W25" s="19" cm="1">
        <f t="array" ref="W25">(INDEX('Cash Flow'!$B$7:$F$7,W$9)+INDEX('Cash Flow'!$B$8:$F$8,W$9)+INDEX('Cash Flow'!$B$9:$F$9,W$9))/12</f>
        <v>1380.8219178082193</v>
      </c>
      <c r="X25" s="19" cm="1">
        <f t="array" ref="X25">(INDEX('Cash Flow'!$B$7:$F$7,X$9)+INDEX('Cash Flow'!$B$8:$F$8,X$9)+INDEX('Cash Flow'!$B$9:$F$9,X$9))/12</f>
        <v>1380.8219178082193</v>
      </c>
      <c r="Y25" s="19" cm="1">
        <f t="array" ref="Y25">(INDEX('Cash Flow'!$B$7:$F$7,Y$9)+INDEX('Cash Flow'!$B$8:$F$8,Y$9)+INDEX('Cash Flow'!$B$9:$F$9,Y$9))/12</f>
        <v>1380.8219178082193</v>
      </c>
      <c r="Z25" s="19" cm="1">
        <f t="array" ref="Z25">(INDEX('Cash Flow'!$B$7:$F$7,Z$9)+INDEX('Cash Flow'!$B$8:$F$8,Z$9)+INDEX('Cash Flow'!$B$9:$F$9,Z$9))/12</f>
        <v>1864.1095890410918</v>
      </c>
      <c r="AA25" s="19" cm="1">
        <f t="array" ref="AA25">(INDEX('Cash Flow'!$B$7:$F$7,AA$9)+INDEX('Cash Flow'!$B$8:$F$8,AA$9)+INDEX('Cash Flow'!$B$9:$F$9,AA$9))/12</f>
        <v>1864.1095890410918</v>
      </c>
      <c r="AB25" s="19" cm="1">
        <f t="array" ref="AB25">(INDEX('Cash Flow'!$B$7:$F$7,AB$9)+INDEX('Cash Flow'!$B$8:$F$8,AB$9)+INDEX('Cash Flow'!$B$9:$F$9,AB$9))/12</f>
        <v>1864.1095890410918</v>
      </c>
      <c r="AC25" s="19" cm="1">
        <f t="array" ref="AC25">(INDEX('Cash Flow'!$B$7:$F$7,AC$9)+INDEX('Cash Flow'!$B$8:$F$8,AC$9)+INDEX('Cash Flow'!$B$9:$F$9,AC$9))/12</f>
        <v>1864.1095890410918</v>
      </c>
      <c r="AD25" s="19" cm="1">
        <f t="array" ref="AD25">(INDEX('Cash Flow'!$B$7:$F$7,AD$9)+INDEX('Cash Flow'!$B$8:$F$8,AD$9)+INDEX('Cash Flow'!$B$9:$F$9,AD$9))/12</f>
        <v>1864.1095890410918</v>
      </c>
      <c r="AE25" s="19" cm="1">
        <f t="array" ref="AE25">(INDEX('Cash Flow'!$B$7:$F$7,AE$9)+INDEX('Cash Flow'!$B$8:$F$8,AE$9)+INDEX('Cash Flow'!$B$9:$F$9,AE$9))/12</f>
        <v>1864.1095890410918</v>
      </c>
      <c r="AF25" s="19" cm="1">
        <f t="array" ref="AF25">(INDEX('Cash Flow'!$B$7:$F$7,AF$9)+INDEX('Cash Flow'!$B$8:$F$8,AF$9)+INDEX('Cash Flow'!$B$9:$F$9,AF$9))/12</f>
        <v>1864.1095890410918</v>
      </c>
      <c r="AG25" s="19" cm="1">
        <f t="array" ref="AG25">(INDEX('Cash Flow'!$B$7:$F$7,AG$9)+INDEX('Cash Flow'!$B$8:$F$8,AG$9)+INDEX('Cash Flow'!$B$9:$F$9,AG$9))/12</f>
        <v>1864.1095890410918</v>
      </c>
      <c r="AH25" s="19" cm="1">
        <f t="array" ref="AH25">(INDEX('Cash Flow'!$B$7:$F$7,AH$9)+INDEX('Cash Flow'!$B$8:$F$8,AH$9)+INDEX('Cash Flow'!$B$9:$F$9,AH$9))/12</f>
        <v>1864.1095890410918</v>
      </c>
      <c r="AI25" s="19" cm="1">
        <f t="array" ref="AI25">(INDEX('Cash Flow'!$B$7:$F$7,AI$9)+INDEX('Cash Flow'!$B$8:$F$8,AI$9)+INDEX('Cash Flow'!$B$9:$F$9,AI$9))/12</f>
        <v>1864.1095890410918</v>
      </c>
      <c r="AJ25" s="19" cm="1">
        <f t="array" ref="AJ25">(INDEX('Cash Flow'!$B$7:$F$7,AJ$9)+INDEX('Cash Flow'!$B$8:$F$8,AJ$9)+INDEX('Cash Flow'!$B$9:$F$9,AJ$9))/12</f>
        <v>1864.1095890410918</v>
      </c>
      <c r="AK25" s="19" cm="1">
        <f t="array" ref="AK25">(INDEX('Cash Flow'!$B$7:$F$7,AK$9)+INDEX('Cash Flow'!$B$8:$F$8,AK$9)+INDEX('Cash Flow'!$B$9:$F$9,AK$9))/12</f>
        <v>1864.1095890410918</v>
      </c>
      <c r="AL25" s="19" cm="1">
        <f t="array" ref="AL25">(INDEX('Cash Flow'!$B$7:$F$7,AL$9)+INDEX('Cash Flow'!$B$8:$F$8,AL$9)+INDEX('Cash Flow'!$B$9:$F$9,AL$9))/12</f>
        <v>2236.9315068493111</v>
      </c>
      <c r="AM25" s="19" cm="1">
        <f t="array" ref="AM25">(INDEX('Cash Flow'!$B$7:$F$7,AM$9)+INDEX('Cash Flow'!$B$8:$F$8,AM$9)+INDEX('Cash Flow'!$B$9:$F$9,AM$9))/12</f>
        <v>2236.9315068493111</v>
      </c>
      <c r="AN25" s="19" cm="1">
        <f t="array" ref="AN25">(INDEX('Cash Flow'!$B$7:$F$7,AN$9)+INDEX('Cash Flow'!$B$8:$F$8,AN$9)+INDEX('Cash Flow'!$B$9:$F$9,AN$9))/12</f>
        <v>2236.9315068493111</v>
      </c>
      <c r="AO25" s="19" cm="1">
        <f t="array" ref="AO25">(INDEX('Cash Flow'!$B$7:$F$7,AO$9)+INDEX('Cash Flow'!$B$8:$F$8,AO$9)+INDEX('Cash Flow'!$B$9:$F$9,AO$9))/12</f>
        <v>2236.9315068493111</v>
      </c>
      <c r="AP25" s="19" cm="1">
        <f t="array" ref="AP25">(INDEX('Cash Flow'!$B$7:$F$7,AP$9)+INDEX('Cash Flow'!$B$8:$F$8,AP$9)+INDEX('Cash Flow'!$B$9:$F$9,AP$9))/12</f>
        <v>2236.9315068493111</v>
      </c>
      <c r="AQ25" s="19" cm="1">
        <f t="array" ref="AQ25">(INDEX('Cash Flow'!$B$7:$F$7,AQ$9)+INDEX('Cash Flow'!$B$8:$F$8,AQ$9)+INDEX('Cash Flow'!$B$9:$F$9,AQ$9))/12</f>
        <v>2236.9315068493111</v>
      </c>
      <c r="AR25" s="19" cm="1">
        <f t="array" ref="AR25">(INDEX('Cash Flow'!$B$7:$F$7,AR$9)+INDEX('Cash Flow'!$B$8:$F$8,AR$9)+INDEX('Cash Flow'!$B$9:$F$9,AR$9))/12</f>
        <v>2236.9315068493111</v>
      </c>
      <c r="AS25" s="19" cm="1">
        <f t="array" ref="AS25">(INDEX('Cash Flow'!$B$7:$F$7,AS$9)+INDEX('Cash Flow'!$B$8:$F$8,AS$9)+INDEX('Cash Flow'!$B$9:$F$9,AS$9))/12</f>
        <v>2236.9315068493111</v>
      </c>
      <c r="AT25" s="19" cm="1">
        <f t="array" ref="AT25">(INDEX('Cash Flow'!$B$7:$F$7,AT$9)+INDEX('Cash Flow'!$B$8:$F$8,AT$9)+INDEX('Cash Flow'!$B$9:$F$9,AT$9))/12</f>
        <v>2236.9315068493111</v>
      </c>
      <c r="AU25" s="19" cm="1">
        <f t="array" ref="AU25">(INDEX('Cash Flow'!$B$7:$F$7,AU$9)+INDEX('Cash Flow'!$B$8:$F$8,AU$9)+INDEX('Cash Flow'!$B$9:$F$9,AU$9))/12</f>
        <v>2236.9315068493111</v>
      </c>
      <c r="AV25" s="19" cm="1">
        <f t="array" ref="AV25">(INDEX('Cash Flow'!$B$7:$F$7,AV$9)+INDEX('Cash Flow'!$B$8:$F$8,AV$9)+INDEX('Cash Flow'!$B$9:$F$9,AV$9))/12</f>
        <v>2236.9315068493111</v>
      </c>
      <c r="AW25" s="19" cm="1">
        <f t="array" ref="AW25">(INDEX('Cash Flow'!$B$7:$F$7,AW$9)+INDEX('Cash Flow'!$B$8:$F$8,AW$9)+INDEX('Cash Flow'!$B$9:$F$9,AW$9))/12</f>
        <v>2236.9315068493111</v>
      </c>
      <c r="AX25" s="19" cm="1">
        <f t="array" ref="AX25">(INDEX('Cash Flow'!$B$7:$F$7,AX$9)+INDEX('Cash Flow'!$B$8:$F$8,AX$9)+INDEX('Cash Flow'!$B$9:$F$9,AX$9))/12</f>
        <v>2522.7616438356222</v>
      </c>
      <c r="AY25" s="19" cm="1">
        <f t="array" ref="AY25">(INDEX('Cash Flow'!$B$7:$F$7,AY$9)+INDEX('Cash Flow'!$B$8:$F$8,AY$9)+INDEX('Cash Flow'!$B$9:$F$9,AY$9))/12</f>
        <v>2522.7616438356222</v>
      </c>
      <c r="AZ25" s="19" cm="1">
        <f t="array" ref="AZ25">(INDEX('Cash Flow'!$B$7:$F$7,AZ$9)+INDEX('Cash Flow'!$B$8:$F$8,AZ$9)+INDEX('Cash Flow'!$B$9:$F$9,AZ$9))/12</f>
        <v>2522.7616438356222</v>
      </c>
      <c r="BA25" s="19" cm="1">
        <f t="array" ref="BA25">(INDEX('Cash Flow'!$B$7:$F$7,BA$9)+INDEX('Cash Flow'!$B$8:$F$8,BA$9)+INDEX('Cash Flow'!$B$9:$F$9,BA$9))/12</f>
        <v>2522.7616438356222</v>
      </c>
      <c r="BB25" s="19" cm="1">
        <f t="array" ref="BB25">(INDEX('Cash Flow'!$B$7:$F$7,BB$9)+INDEX('Cash Flow'!$B$8:$F$8,BB$9)+INDEX('Cash Flow'!$B$9:$F$9,BB$9))/12</f>
        <v>2522.7616438356222</v>
      </c>
      <c r="BC25" s="19" cm="1">
        <f t="array" ref="BC25">(INDEX('Cash Flow'!$B$7:$F$7,BC$9)+INDEX('Cash Flow'!$B$8:$F$8,BC$9)+INDEX('Cash Flow'!$B$9:$F$9,BC$9))/12</f>
        <v>2522.7616438356222</v>
      </c>
      <c r="BD25" s="19" cm="1">
        <f t="array" ref="BD25">(INDEX('Cash Flow'!$B$7:$F$7,BD$9)+INDEX('Cash Flow'!$B$8:$F$8,BD$9)+INDEX('Cash Flow'!$B$9:$F$9,BD$9))/12</f>
        <v>2522.7616438356222</v>
      </c>
      <c r="BE25" s="19" cm="1">
        <f t="array" ref="BE25">(INDEX('Cash Flow'!$B$7:$F$7,BE$9)+INDEX('Cash Flow'!$B$8:$F$8,BE$9)+INDEX('Cash Flow'!$B$9:$F$9,BE$9))/12</f>
        <v>2522.7616438356222</v>
      </c>
      <c r="BF25" s="19" cm="1">
        <f t="array" ref="BF25">(INDEX('Cash Flow'!$B$7:$F$7,BF$9)+INDEX('Cash Flow'!$B$8:$F$8,BF$9)+INDEX('Cash Flow'!$B$9:$F$9,BF$9))/12</f>
        <v>2522.7616438356222</v>
      </c>
      <c r="BG25" s="19" cm="1">
        <f t="array" ref="BG25">(INDEX('Cash Flow'!$B$7:$F$7,BG$9)+INDEX('Cash Flow'!$B$8:$F$8,BG$9)+INDEX('Cash Flow'!$B$9:$F$9,BG$9))/12</f>
        <v>2522.7616438356222</v>
      </c>
      <c r="BH25" s="19" cm="1">
        <f t="array" ref="BH25">(INDEX('Cash Flow'!$B$7:$F$7,BH$9)+INDEX('Cash Flow'!$B$8:$F$8,BH$9)+INDEX('Cash Flow'!$B$9:$F$9,BH$9))/12</f>
        <v>2522.7616438356222</v>
      </c>
      <c r="BI25" s="19" cm="1">
        <f t="array" ref="BI25">(INDEX('Cash Flow'!$B$7:$F$7,BI$9)+INDEX('Cash Flow'!$B$8:$F$8,BI$9)+INDEX('Cash Flow'!$B$9:$F$9,BI$9))/12</f>
        <v>2522.7616438356222</v>
      </c>
    </row>
    <row r="26" spans="1:61" x14ac:dyDescent="0.3">
      <c r="A26" s="11" t="s">
        <v>89</v>
      </c>
      <c r="B26" s="19">
        <f>-Assumptions!$B$21/12</f>
        <v>-5000</v>
      </c>
      <c r="C26" s="19">
        <f>-Assumptions!$B$21/12</f>
        <v>-5000</v>
      </c>
      <c r="D26" s="19">
        <f>-Assumptions!$B$21/12</f>
        <v>-5000</v>
      </c>
      <c r="E26" s="19">
        <f>-Assumptions!$B$21/12</f>
        <v>-5000</v>
      </c>
      <c r="F26" s="19">
        <f>-Assumptions!$B$21/12</f>
        <v>-5000</v>
      </c>
      <c r="G26" s="19">
        <f>-Assumptions!$B$21/12</f>
        <v>-5000</v>
      </c>
      <c r="H26" s="19">
        <f>-Assumptions!$B$21/12</f>
        <v>-5000</v>
      </c>
      <c r="I26" s="19">
        <f>-Assumptions!$B$21/12</f>
        <v>-5000</v>
      </c>
      <c r="J26" s="19">
        <f>-Assumptions!$B$21/12</f>
        <v>-5000</v>
      </c>
      <c r="K26" s="19">
        <f>-Assumptions!$B$21/12</f>
        <v>-5000</v>
      </c>
      <c r="L26" s="19">
        <f>-Assumptions!$B$21/12</f>
        <v>-5000</v>
      </c>
      <c r="M26" s="19">
        <f>-Assumptions!$B$21/12</f>
        <v>-5000</v>
      </c>
      <c r="N26" s="19">
        <f>-Assumptions!$B$21/12</f>
        <v>-5000</v>
      </c>
      <c r="O26" s="19">
        <f>-Assumptions!$B$21/12</f>
        <v>-5000</v>
      </c>
      <c r="P26" s="19">
        <f>-Assumptions!$B$21/12</f>
        <v>-5000</v>
      </c>
      <c r="Q26" s="19">
        <f>-Assumptions!$B$21/12</f>
        <v>-5000</v>
      </c>
      <c r="R26" s="19">
        <f>-Assumptions!$B$21/12</f>
        <v>-5000</v>
      </c>
      <c r="S26" s="19">
        <f>-Assumptions!$B$21/12</f>
        <v>-5000</v>
      </c>
      <c r="T26" s="19">
        <f>-Assumptions!$B$21/12</f>
        <v>-5000</v>
      </c>
      <c r="U26" s="19">
        <f>-Assumptions!$B$21/12</f>
        <v>-5000</v>
      </c>
      <c r="V26" s="19">
        <f>-Assumptions!$B$21/12</f>
        <v>-5000</v>
      </c>
      <c r="W26" s="19">
        <f>-Assumptions!$B$21/12</f>
        <v>-5000</v>
      </c>
      <c r="X26" s="19">
        <f>-Assumptions!$B$21/12</f>
        <v>-5000</v>
      </c>
      <c r="Y26" s="19">
        <f>-Assumptions!$B$21/12</f>
        <v>-5000</v>
      </c>
      <c r="Z26" s="19">
        <f>-Assumptions!$B$21/12</f>
        <v>-5000</v>
      </c>
      <c r="AA26" s="19">
        <f>-Assumptions!$B$21/12</f>
        <v>-5000</v>
      </c>
      <c r="AB26" s="19">
        <f>-Assumptions!$B$21/12</f>
        <v>-5000</v>
      </c>
      <c r="AC26" s="19">
        <f>-Assumptions!$B$21/12</f>
        <v>-5000</v>
      </c>
      <c r="AD26" s="19">
        <f>-Assumptions!$B$21/12</f>
        <v>-5000</v>
      </c>
      <c r="AE26" s="19">
        <f>-Assumptions!$B$21/12</f>
        <v>-5000</v>
      </c>
      <c r="AF26" s="19">
        <f>-Assumptions!$B$21/12</f>
        <v>-5000</v>
      </c>
      <c r="AG26" s="19">
        <f>-Assumptions!$B$21/12</f>
        <v>-5000</v>
      </c>
      <c r="AH26" s="19">
        <f>-Assumptions!$B$21/12</f>
        <v>-5000</v>
      </c>
      <c r="AI26" s="19">
        <f>-Assumptions!$B$21/12</f>
        <v>-5000</v>
      </c>
      <c r="AJ26" s="19">
        <f>-Assumptions!$B$21/12</f>
        <v>-5000</v>
      </c>
      <c r="AK26" s="19">
        <f>-Assumptions!$B$21/12</f>
        <v>-5000</v>
      </c>
      <c r="AL26" s="19">
        <f>-Assumptions!$B$21/12</f>
        <v>-5000</v>
      </c>
      <c r="AM26" s="19">
        <f>-Assumptions!$B$21/12</f>
        <v>-5000</v>
      </c>
      <c r="AN26" s="19">
        <f>-Assumptions!$B$21/12</f>
        <v>-5000</v>
      </c>
      <c r="AO26" s="19">
        <f>-Assumptions!$B$21/12</f>
        <v>-5000</v>
      </c>
      <c r="AP26" s="19">
        <f>-Assumptions!$B$21/12</f>
        <v>-5000</v>
      </c>
      <c r="AQ26" s="19">
        <f>-Assumptions!$B$21/12</f>
        <v>-5000</v>
      </c>
      <c r="AR26" s="19">
        <f>-Assumptions!$B$21/12</f>
        <v>-5000</v>
      </c>
      <c r="AS26" s="19">
        <f>-Assumptions!$B$21/12</f>
        <v>-5000</v>
      </c>
      <c r="AT26" s="19">
        <f>-Assumptions!$B$21/12</f>
        <v>-5000</v>
      </c>
      <c r="AU26" s="19">
        <f>-Assumptions!$B$21/12</f>
        <v>-5000</v>
      </c>
      <c r="AV26" s="19">
        <f>-Assumptions!$B$21/12</f>
        <v>-5000</v>
      </c>
      <c r="AW26" s="19">
        <f>-Assumptions!$B$21/12</f>
        <v>-5000</v>
      </c>
      <c r="AX26" s="19">
        <f>-Assumptions!$B$21/12</f>
        <v>-5000</v>
      </c>
      <c r="AY26" s="19">
        <f>-Assumptions!$B$21/12</f>
        <v>-5000</v>
      </c>
      <c r="AZ26" s="19">
        <f>-Assumptions!$B$21/12</f>
        <v>-5000</v>
      </c>
      <c r="BA26" s="19">
        <f>-Assumptions!$B$21/12</f>
        <v>-5000</v>
      </c>
      <c r="BB26" s="19">
        <f>-Assumptions!$B$21/12</f>
        <v>-5000</v>
      </c>
      <c r="BC26" s="19">
        <f>-Assumptions!$B$21/12</f>
        <v>-5000</v>
      </c>
      <c r="BD26" s="19">
        <f>-Assumptions!$B$21/12</f>
        <v>-5000</v>
      </c>
      <c r="BE26" s="19">
        <f>-Assumptions!$B$21/12</f>
        <v>-5000</v>
      </c>
      <c r="BF26" s="19">
        <f>-Assumptions!$B$21/12</f>
        <v>-5000</v>
      </c>
      <c r="BG26" s="19">
        <f>-Assumptions!$B$21/12</f>
        <v>-5000</v>
      </c>
      <c r="BH26" s="19">
        <f>-Assumptions!$B$21/12</f>
        <v>-5000</v>
      </c>
      <c r="BI26" s="19">
        <f>-Assumptions!$B$21/12</f>
        <v>-5000</v>
      </c>
    </row>
    <row r="27" spans="1:61" x14ac:dyDescent="0.3">
      <c r="A27" s="11" t="s">
        <v>90</v>
      </c>
      <c r="B27" s="19" cm="1">
        <f t="array" ref="B27">IF(B$10=1,INDEX(Assumptions!$B$28:$B$32,B$9),0)</f>
        <v>0</v>
      </c>
      <c r="C27" s="19" cm="1">
        <f t="array" ref="C27">IF(C$10=1,INDEX(Assumptions!$B$28:$B$32,C$9),0)</f>
        <v>0</v>
      </c>
      <c r="D27" s="19" cm="1">
        <f t="array" ref="D27">IF(D$10=1,INDEX(Assumptions!$B$28:$B$32,D$9),0)</f>
        <v>0</v>
      </c>
      <c r="E27" s="19" cm="1">
        <f t="array" ref="E27">IF(E$10=1,INDEX(Assumptions!$B$28:$B$32,E$9),0)</f>
        <v>0</v>
      </c>
      <c r="F27" s="19" cm="1">
        <f t="array" ref="F27">IF(F$10=1,INDEX(Assumptions!$B$28:$B$32,F$9),0)</f>
        <v>0</v>
      </c>
      <c r="G27" s="19" cm="1">
        <f t="array" ref="G27">IF(G$10=1,INDEX(Assumptions!$B$28:$B$32,G$9),0)</f>
        <v>0</v>
      </c>
      <c r="H27" s="19" cm="1">
        <f t="array" ref="H27">IF(H$10=1,INDEX(Assumptions!$B$28:$B$32,H$9),0)</f>
        <v>0</v>
      </c>
      <c r="I27" s="19" cm="1">
        <f t="array" ref="I27">IF(I$10=1,INDEX(Assumptions!$B$28:$B$32,I$9),0)</f>
        <v>0</v>
      </c>
      <c r="J27" s="19" cm="1">
        <f t="array" ref="J27">IF(J$10=1,INDEX(Assumptions!$B$28:$B$32,J$9),0)</f>
        <v>0</v>
      </c>
      <c r="K27" s="19" cm="1">
        <f t="array" ref="K27">IF(K$10=1,INDEX(Assumptions!$B$28:$B$32,K$9),0)</f>
        <v>0</v>
      </c>
      <c r="L27" s="19" cm="1">
        <f t="array" ref="L27">IF(L$10=1,INDEX(Assumptions!$B$28:$B$32,L$9),0)</f>
        <v>0</v>
      </c>
      <c r="M27" s="19" cm="1">
        <f t="array" ref="M27">IF(M$10=1,INDEX(Assumptions!$B$28:$B$32,M$9),0)</f>
        <v>0</v>
      </c>
      <c r="N27" s="19" cm="1">
        <f t="array" ref="N27">IF(N$10=1,INDEX(Assumptions!$B$28:$B$32,N$9),0)</f>
        <v>6000000</v>
      </c>
      <c r="O27" s="19" cm="1">
        <f t="array" ref="O27">IF(O$10=1,INDEX(Assumptions!$B$28:$B$32,O$9),0)</f>
        <v>0</v>
      </c>
      <c r="P27" s="19" cm="1">
        <f t="array" ref="P27">IF(P$10=1,INDEX(Assumptions!$B$28:$B$32,P$9),0)</f>
        <v>0</v>
      </c>
      <c r="Q27" s="19" cm="1">
        <f t="array" ref="Q27">IF(Q$10=1,INDEX(Assumptions!$B$28:$B$32,Q$9),0)</f>
        <v>0</v>
      </c>
      <c r="R27" s="19" cm="1">
        <f t="array" ref="R27">IF(R$10=1,INDEX(Assumptions!$B$28:$B$32,R$9),0)</f>
        <v>0</v>
      </c>
      <c r="S27" s="19" cm="1">
        <f t="array" ref="S27">IF(S$10=1,INDEX(Assumptions!$B$28:$B$32,S$9),0)</f>
        <v>0</v>
      </c>
      <c r="T27" s="19" cm="1">
        <f t="array" ref="T27">IF(T$10=1,INDEX(Assumptions!$B$28:$B$32,T$9),0)</f>
        <v>0</v>
      </c>
      <c r="U27" s="19" cm="1">
        <f t="array" ref="U27">IF(U$10=1,INDEX(Assumptions!$B$28:$B$32,U$9),0)</f>
        <v>0</v>
      </c>
      <c r="V27" s="19" cm="1">
        <f t="array" ref="V27">IF(V$10=1,INDEX(Assumptions!$B$28:$B$32,V$9),0)</f>
        <v>0</v>
      </c>
      <c r="W27" s="19" cm="1">
        <f t="array" ref="W27">IF(W$10=1,INDEX(Assumptions!$B$28:$B$32,W$9),0)</f>
        <v>0</v>
      </c>
      <c r="X27" s="19" cm="1">
        <f t="array" ref="X27">IF(X$10=1,INDEX(Assumptions!$B$28:$B$32,X$9),0)</f>
        <v>0</v>
      </c>
      <c r="Y27" s="19" cm="1">
        <f t="array" ref="Y27">IF(Y$10=1,INDEX(Assumptions!$B$28:$B$32,Y$9),0)</f>
        <v>0</v>
      </c>
      <c r="Z27" s="19" cm="1">
        <f t="array" ref="Z27">IF(Z$10=1,INDEX(Assumptions!$B$28:$B$32,Z$9),0)</f>
        <v>0</v>
      </c>
      <c r="AA27" s="19" cm="1">
        <f t="array" ref="AA27">IF(AA$10=1,INDEX(Assumptions!$B$28:$B$32,AA$9),0)</f>
        <v>0</v>
      </c>
      <c r="AB27" s="19" cm="1">
        <f t="array" ref="AB27">IF(AB$10=1,INDEX(Assumptions!$B$28:$B$32,AB$9),0)</f>
        <v>0</v>
      </c>
      <c r="AC27" s="19" cm="1">
        <f t="array" ref="AC27">IF(AC$10=1,INDEX(Assumptions!$B$28:$B$32,AC$9),0)</f>
        <v>0</v>
      </c>
      <c r="AD27" s="19" cm="1">
        <f t="array" ref="AD27">IF(AD$10=1,INDEX(Assumptions!$B$28:$B$32,AD$9),0)</f>
        <v>0</v>
      </c>
      <c r="AE27" s="19" cm="1">
        <f t="array" ref="AE27">IF(AE$10=1,INDEX(Assumptions!$B$28:$B$32,AE$9),0)</f>
        <v>0</v>
      </c>
      <c r="AF27" s="19" cm="1">
        <f t="array" ref="AF27">IF(AF$10=1,INDEX(Assumptions!$B$28:$B$32,AF$9),0)</f>
        <v>0</v>
      </c>
      <c r="AG27" s="19" cm="1">
        <f t="array" ref="AG27">IF(AG$10=1,INDEX(Assumptions!$B$28:$B$32,AG$9),0)</f>
        <v>0</v>
      </c>
      <c r="AH27" s="19" cm="1">
        <f t="array" ref="AH27">IF(AH$10=1,INDEX(Assumptions!$B$28:$B$32,AH$9),0)</f>
        <v>0</v>
      </c>
      <c r="AI27" s="19" cm="1">
        <f t="array" ref="AI27">IF(AI$10=1,INDEX(Assumptions!$B$28:$B$32,AI$9),0)</f>
        <v>0</v>
      </c>
      <c r="AJ27" s="19" cm="1">
        <f t="array" ref="AJ27">IF(AJ$10=1,INDEX(Assumptions!$B$28:$B$32,AJ$9),0)</f>
        <v>0</v>
      </c>
      <c r="AK27" s="19" cm="1">
        <f t="array" ref="AK27">IF(AK$10=1,INDEX(Assumptions!$B$28:$B$32,AK$9),0)</f>
        <v>0</v>
      </c>
      <c r="AL27" s="19" cm="1">
        <f t="array" ref="AL27">IF(AL$10=1,INDEX(Assumptions!$B$28:$B$32,AL$9),0)</f>
        <v>0</v>
      </c>
      <c r="AM27" s="19" cm="1">
        <f t="array" ref="AM27">IF(AM$10=1,INDEX(Assumptions!$B$28:$B$32,AM$9),0)</f>
        <v>0</v>
      </c>
      <c r="AN27" s="19" cm="1">
        <f t="array" ref="AN27">IF(AN$10=1,INDEX(Assumptions!$B$28:$B$32,AN$9),0)</f>
        <v>0</v>
      </c>
      <c r="AO27" s="19" cm="1">
        <f t="array" ref="AO27">IF(AO$10=1,INDEX(Assumptions!$B$28:$B$32,AO$9),0)</f>
        <v>0</v>
      </c>
      <c r="AP27" s="19" cm="1">
        <f t="array" ref="AP27">IF(AP$10=1,INDEX(Assumptions!$B$28:$B$32,AP$9),0)</f>
        <v>0</v>
      </c>
      <c r="AQ27" s="19" cm="1">
        <f t="array" ref="AQ27">IF(AQ$10=1,INDEX(Assumptions!$B$28:$B$32,AQ$9),0)</f>
        <v>0</v>
      </c>
      <c r="AR27" s="19" cm="1">
        <f t="array" ref="AR27">IF(AR$10=1,INDEX(Assumptions!$B$28:$B$32,AR$9),0)</f>
        <v>0</v>
      </c>
      <c r="AS27" s="19" cm="1">
        <f t="array" ref="AS27">IF(AS$10=1,INDEX(Assumptions!$B$28:$B$32,AS$9),0)</f>
        <v>0</v>
      </c>
      <c r="AT27" s="19" cm="1">
        <f t="array" ref="AT27">IF(AT$10=1,INDEX(Assumptions!$B$28:$B$32,AT$9),0)</f>
        <v>0</v>
      </c>
      <c r="AU27" s="19" cm="1">
        <f t="array" ref="AU27">IF(AU$10=1,INDEX(Assumptions!$B$28:$B$32,AU$9),0)</f>
        <v>0</v>
      </c>
      <c r="AV27" s="19" cm="1">
        <f t="array" ref="AV27">IF(AV$10=1,INDEX(Assumptions!$B$28:$B$32,AV$9),0)</f>
        <v>0</v>
      </c>
      <c r="AW27" s="19" cm="1">
        <f t="array" ref="AW27">IF(AW$10=1,INDEX(Assumptions!$B$28:$B$32,AW$9),0)</f>
        <v>0</v>
      </c>
      <c r="AX27" s="19" cm="1">
        <f t="array" ref="AX27">IF(AX$10=1,INDEX(Assumptions!$B$28:$B$32,AX$9),0)</f>
        <v>12000000</v>
      </c>
      <c r="AY27" s="19" cm="1">
        <f t="array" ref="AY27">IF(AY$10=1,INDEX(Assumptions!$B$28:$B$32,AY$9),0)</f>
        <v>0</v>
      </c>
      <c r="AZ27" s="19" cm="1">
        <f t="array" ref="AZ27">IF(AZ$10=1,INDEX(Assumptions!$B$28:$B$32,AZ$9),0)</f>
        <v>0</v>
      </c>
      <c r="BA27" s="19" cm="1">
        <f t="array" ref="BA27">IF(BA$10=1,INDEX(Assumptions!$B$28:$B$32,BA$9),0)</f>
        <v>0</v>
      </c>
      <c r="BB27" s="19" cm="1">
        <f t="array" ref="BB27">IF(BB$10=1,INDEX(Assumptions!$B$28:$B$32,BB$9),0)</f>
        <v>0</v>
      </c>
      <c r="BC27" s="19" cm="1">
        <f t="array" ref="BC27">IF(BC$10=1,INDEX(Assumptions!$B$28:$B$32,BC$9),0)</f>
        <v>0</v>
      </c>
      <c r="BD27" s="19" cm="1">
        <f t="array" ref="BD27">IF(BD$10=1,INDEX(Assumptions!$B$28:$B$32,BD$9),0)</f>
        <v>0</v>
      </c>
      <c r="BE27" s="19" cm="1">
        <f t="array" ref="BE27">IF(BE$10=1,INDEX(Assumptions!$B$28:$B$32,BE$9),0)</f>
        <v>0</v>
      </c>
      <c r="BF27" s="19" cm="1">
        <f t="array" ref="BF27">IF(BF$10=1,INDEX(Assumptions!$B$28:$B$32,BF$9),0)</f>
        <v>0</v>
      </c>
      <c r="BG27" s="19" cm="1">
        <f t="array" ref="BG27">IF(BG$10=1,INDEX(Assumptions!$B$28:$B$32,BG$9),0)</f>
        <v>0</v>
      </c>
      <c r="BH27" s="19" cm="1">
        <f t="array" ref="BH27">IF(BH$10=1,INDEX(Assumptions!$B$28:$B$32,BH$9),0)</f>
        <v>0</v>
      </c>
      <c r="BI27" s="19" cm="1">
        <f t="array" ref="BI27">IF(BI$10=1,INDEX(Assumptions!$B$28:$B$32,BI$9),0)</f>
        <v>0</v>
      </c>
    </row>
    <row r="28" spans="1:61" x14ac:dyDescent="0.3">
      <c r="A28" s="11" t="s">
        <v>59</v>
      </c>
      <c r="B28" s="20">
        <f>B22+B24+B25+B26+B27</f>
        <v>-10431.693878543065</v>
      </c>
      <c r="C28" s="20">
        <f>C22+C24+C25+C26+C27</f>
        <v>-10574.848304059149</v>
      </c>
      <c r="D28" s="20">
        <f t="shared" ref="D28:BI28" si="8">D22+D24+D25+D26+D27</f>
        <v>-10720.865818085524</v>
      </c>
      <c r="E28" s="20">
        <f t="shared" si="8"/>
        <v>-10869.803682392445</v>
      </c>
      <c r="F28" s="20">
        <f t="shared" si="8"/>
        <v>-11021.72030398549</v>
      </c>
      <c r="G28" s="20">
        <f t="shared" si="8"/>
        <v>-11176.675258010404</v>
      </c>
      <c r="H28" s="20">
        <f t="shared" si="8"/>
        <v>-11334.729311115818</v>
      </c>
      <c r="I28" s="20">
        <f t="shared" si="8"/>
        <v>-11495.944445283338</v>
      </c>
      <c r="J28" s="20">
        <f t="shared" si="8"/>
        <v>-11660.383882134218</v>
      </c>
      <c r="K28" s="20">
        <f t="shared" si="8"/>
        <v>-11828.112107722114</v>
      </c>
      <c r="L28" s="20">
        <f t="shared" si="8"/>
        <v>-11999.194897821766</v>
      </c>
      <c r="M28" s="20">
        <f t="shared" si="8"/>
        <v>-12173.699343723401</v>
      </c>
      <c r="N28" s="20">
        <f t="shared" si="8"/>
        <v>5983496.9236213621</v>
      </c>
      <c r="O28" s="20">
        <f t="shared" si="8"/>
        <v>-16760.75434456674</v>
      </c>
      <c r="P28" s="20">
        <f t="shared" si="8"/>
        <v>-17023.585869814226</v>
      </c>
      <c r="Q28" s="20">
        <f t="shared" si="8"/>
        <v>-17291.674025566652</v>
      </c>
      <c r="R28" s="20">
        <f t="shared" si="8"/>
        <v>-17565.123944434177</v>
      </c>
      <c r="S28" s="20">
        <f t="shared" si="8"/>
        <v>-17844.04286167903</v>
      </c>
      <c r="T28" s="20">
        <f t="shared" si="8"/>
        <v>-18128.54015726877</v>
      </c>
      <c r="U28" s="20">
        <f t="shared" si="8"/>
        <v>-18418.727398770294</v>
      </c>
      <c r="V28" s="20">
        <f t="shared" si="8"/>
        <v>-18714.718385101864</v>
      </c>
      <c r="W28" s="20">
        <f t="shared" si="8"/>
        <v>-19016.629191160071</v>
      </c>
      <c r="X28" s="20">
        <f t="shared" si="8"/>
        <v>-19324.578213339424</v>
      </c>
      <c r="Y28" s="20">
        <f t="shared" si="8"/>
        <v>-19638.686215962385</v>
      </c>
      <c r="Z28" s="20">
        <f t="shared" si="8"/>
        <v>-23750.127685272546</v>
      </c>
      <c r="AA28" s="20">
        <f t="shared" si="8"/>
        <v>-24162.412430758824</v>
      </c>
      <c r="AB28" s="20">
        <f t="shared" si="8"/>
        <v>-24582.942871154843</v>
      </c>
      <c r="AC28" s="20">
        <f t="shared" si="8"/>
        <v>-25011.883920358701</v>
      </c>
      <c r="AD28" s="20">
        <f t="shared" si="8"/>
        <v>-25449.403790546701</v>
      </c>
      <c r="AE28" s="20">
        <f t="shared" si="8"/>
        <v>-25895.674058138455</v>
      </c>
      <c r="AF28" s="20">
        <f t="shared" si="8"/>
        <v>-26350.86973108209</v>
      </c>
      <c r="AG28" s="20">
        <f t="shared" si="8"/>
        <v>-26815.169317484517</v>
      </c>
      <c r="AH28" s="20">
        <f t="shared" si="8"/>
        <v>-27288.754895615046</v>
      </c>
      <c r="AI28" s="20">
        <f t="shared" si="8"/>
        <v>-27771.812185308201</v>
      </c>
      <c r="AJ28" s="20">
        <f t="shared" si="8"/>
        <v>-28264.530620795154</v>
      </c>
      <c r="AK28" s="20">
        <f t="shared" si="8"/>
        <v>-28767.103424991892</v>
      </c>
      <c r="AL28" s="20">
        <f t="shared" si="8"/>
        <v>-32653.71254090545</v>
      </c>
      <c r="AM28" s="20">
        <f t="shared" si="8"/>
        <v>-33251.525421860562</v>
      </c>
      <c r="AN28" s="20">
        <f t="shared" si="8"/>
        <v>-33861.294560434697</v>
      </c>
      <c r="AO28" s="20">
        <f t="shared" si="8"/>
        <v>-34483.259081780379</v>
      </c>
      <c r="AP28" s="20">
        <f t="shared" si="8"/>
        <v>-35117.662893552966</v>
      </c>
      <c r="AQ28" s="20">
        <f t="shared" si="8"/>
        <v>-35764.754781561016</v>
      </c>
      <c r="AR28" s="20">
        <f t="shared" si="8"/>
        <v>-36424.788507329227</v>
      </c>
      <c r="AS28" s="20">
        <f t="shared" si="8"/>
        <v>-37098.022907612831</v>
      </c>
      <c r="AT28" s="20">
        <f t="shared" si="8"/>
        <v>-37784.721995902124</v>
      </c>
      <c r="AU28" s="20">
        <f t="shared" si="8"/>
        <v>-38485.1550659571</v>
      </c>
      <c r="AV28" s="20">
        <f t="shared" si="8"/>
        <v>-39199.596797413244</v>
      </c>
      <c r="AW28" s="20">
        <f t="shared" si="8"/>
        <v>-39928.32736349856</v>
      </c>
      <c r="AX28" s="20">
        <f t="shared" si="8"/>
        <v>11957170.392179366</v>
      </c>
      <c r="AY28" s="20">
        <f t="shared" si="8"/>
        <v>-43636.65520992277</v>
      </c>
      <c r="AZ28" s="20">
        <f t="shared" si="8"/>
        <v>-44459.843546997887</v>
      </c>
      <c r="BA28" s="20">
        <f t="shared" si="8"/>
        <v>-45299.49565081457</v>
      </c>
      <c r="BB28" s="20">
        <f t="shared" si="8"/>
        <v>-46155.94079670748</v>
      </c>
      <c r="BC28" s="20">
        <f t="shared" si="8"/>
        <v>-47029.51484551841</v>
      </c>
      <c r="BD28" s="20">
        <f t="shared" si="8"/>
        <v>-47920.560375305431</v>
      </c>
      <c r="BE28" s="20">
        <f t="shared" si="8"/>
        <v>-48829.426815688334</v>
      </c>
      <c r="BF28" s="20">
        <f t="shared" si="8"/>
        <v>-49756.470584878829</v>
      </c>
      <c r="BG28" s="20">
        <f t="shared" si="8"/>
        <v>-50702.055229453093</v>
      </c>
      <c r="BH28" s="20">
        <f t="shared" si="8"/>
        <v>-51666.551566918861</v>
      </c>
      <c r="BI28" s="20">
        <f t="shared" si="8"/>
        <v>-52650.337831133933</v>
      </c>
    </row>
    <row r="29" spans="1:61" x14ac:dyDescent="0.3">
      <c r="A29" s="11" t="s">
        <v>60</v>
      </c>
      <c r="B29" s="19">
        <f>Assumptions!$B$24</f>
        <v>2000000</v>
      </c>
      <c r="C29" s="19">
        <f>B30</f>
        <v>1989568.3061214569</v>
      </c>
      <c r="D29" s="19">
        <f t="shared" ref="D29:BI29" si="9">C30</f>
        <v>1978993.4578173978</v>
      </c>
      <c r="E29" s="19">
        <f t="shared" si="9"/>
        <v>1968272.5919993122</v>
      </c>
      <c r="F29" s="19">
        <f t="shared" si="9"/>
        <v>1957402.7883169197</v>
      </c>
      <c r="G29" s="19">
        <f t="shared" si="9"/>
        <v>1946381.0680129342</v>
      </c>
      <c r="H29" s="19">
        <f t="shared" si="9"/>
        <v>1935204.3927549238</v>
      </c>
      <c r="I29" s="19">
        <f t="shared" si="9"/>
        <v>1923869.663443808</v>
      </c>
      <c r="J29" s="19">
        <f t="shared" si="9"/>
        <v>1912373.7189985246</v>
      </c>
      <c r="K29" s="19">
        <f t="shared" si="9"/>
        <v>1900713.3351163904</v>
      </c>
      <c r="L29" s="19">
        <f t="shared" si="9"/>
        <v>1888885.2230086683</v>
      </c>
      <c r="M29" s="19">
        <f t="shared" si="9"/>
        <v>1876886.0281108464</v>
      </c>
      <c r="N29" s="19">
        <f t="shared" si="9"/>
        <v>1864712.3287671229</v>
      </c>
      <c r="O29" s="19">
        <f t="shared" si="9"/>
        <v>7848209.2523884848</v>
      </c>
      <c r="P29" s="19">
        <f t="shared" si="9"/>
        <v>7831448.4980439181</v>
      </c>
      <c r="Q29" s="19">
        <f t="shared" si="9"/>
        <v>7814424.9121741038</v>
      </c>
      <c r="R29" s="19">
        <f t="shared" si="9"/>
        <v>7797133.2381485375</v>
      </c>
      <c r="S29" s="19">
        <f t="shared" si="9"/>
        <v>7779568.1142041031</v>
      </c>
      <c r="T29" s="19">
        <f t="shared" si="9"/>
        <v>7761724.0713424245</v>
      </c>
      <c r="U29" s="19">
        <f t="shared" si="9"/>
        <v>7743595.5311851557</v>
      </c>
      <c r="V29" s="19">
        <f t="shared" si="9"/>
        <v>7725176.8037863858</v>
      </c>
      <c r="W29" s="19">
        <f t="shared" si="9"/>
        <v>7706462.0854012836</v>
      </c>
      <c r="X29" s="19">
        <f t="shared" si="9"/>
        <v>7687445.4562101234</v>
      </c>
      <c r="Y29" s="19">
        <f t="shared" si="9"/>
        <v>7668120.8779967837</v>
      </c>
      <c r="Z29" s="19">
        <f t="shared" si="9"/>
        <v>7648482.1917808214</v>
      </c>
      <c r="AA29" s="19">
        <f t="shared" si="9"/>
        <v>7624732.0640955493</v>
      </c>
      <c r="AB29" s="19">
        <f t="shared" si="9"/>
        <v>7600569.6516647907</v>
      </c>
      <c r="AC29" s="19">
        <f t="shared" si="9"/>
        <v>7575986.7087936355</v>
      </c>
      <c r="AD29" s="19">
        <f t="shared" si="9"/>
        <v>7550974.824873277</v>
      </c>
      <c r="AE29" s="19">
        <f t="shared" si="9"/>
        <v>7525525.4210827304</v>
      </c>
      <c r="AF29" s="19">
        <f t="shared" si="9"/>
        <v>7499629.747024592</v>
      </c>
      <c r="AG29" s="19">
        <f t="shared" si="9"/>
        <v>7473278.8772935104</v>
      </c>
      <c r="AH29" s="19">
        <f t="shared" si="9"/>
        <v>7446463.7079760255</v>
      </c>
      <c r="AI29" s="19">
        <f t="shared" si="9"/>
        <v>7419174.9530804101</v>
      </c>
      <c r="AJ29" s="19">
        <f t="shared" si="9"/>
        <v>7391403.1408951022</v>
      </c>
      <c r="AK29" s="19">
        <f t="shared" si="9"/>
        <v>7363138.6102743074</v>
      </c>
      <c r="AL29" s="19">
        <f t="shared" si="9"/>
        <v>7334371.5068493159</v>
      </c>
      <c r="AM29" s="19">
        <f t="shared" si="9"/>
        <v>7301717.794308411</v>
      </c>
      <c r="AN29" s="19">
        <f t="shared" si="9"/>
        <v>7268466.2688865503</v>
      </c>
      <c r="AO29" s="19">
        <f t="shared" si="9"/>
        <v>7234604.974326116</v>
      </c>
      <c r="AP29" s="19">
        <f t="shared" si="9"/>
        <v>7200121.7152443361</v>
      </c>
      <c r="AQ29" s="19">
        <f t="shared" si="9"/>
        <v>7165004.0523507828</v>
      </c>
      <c r="AR29" s="19">
        <f t="shared" si="9"/>
        <v>7129239.2975692218</v>
      </c>
      <c r="AS29" s="19">
        <f t="shared" si="9"/>
        <v>7092814.5090618925</v>
      </c>
      <c r="AT29" s="19">
        <f t="shared" si="9"/>
        <v>7055716.4861542797</v>
      </c>
      <c r="AU29" s="19">
        <f t="shared" si="9"/>
        <v>7017931.7641583774</v>
      </c>
      <c r="AV29" s="19">
        <f t="shared" si="9"/>
        <v>6979446.60909242</v>
      </c>
      <c r="AW29" s="19">
        <f t="shared" si="9"/>
        <v>6940247.0122950068</v>
      </c>
      <c r="AX29" s="19">
        <f t="shared" si="9"/>
        <v>6900318.6849315083</v>
      </c>
      <c r="AY29" s="19">
        <f t="shared" si="9"/>
        <v>18857489.077110875</v>
      </c>
      <c r="AZ29" s="19">
        <f t="shared" si="9"/>
        <v>18813852.421900954</v>
      </c>
      <c r="BA29" s="19">
        <f t="shared" si="9"/>
        <v>18769392.578353956</v>
      </c>
      <c r="BB29" s="19">
        <f t="shared" si="9"/>
        <v>18724093.082703143</v>
      </c>
      <c r="BC29" s="19">
        <f t="shared" si="9"/>
        <v>18677937.141906437</v>
      </c>
      <c r="BD29" s="19">
        <f t="shared" si="9"/>
        <v>18630907.627060916</v>
      </c>
      <c r="BE29" s="19">
        <f t="shared" si="9"/>
        <v>18582987.06668561</v>
      </c>
      <c r="BF29" s="19">
        <f t="shared" si="9"/>
        <v>18534157.639869921</v>
      </c>
      <c r="BG29" s="19">
        <f t="shared" si="9"/>
        <v>18484401.16928504</v>
      </c>
      <c r="BH29" s="19">
        <f t="shared" si="9"/>
        <v>18433699.114055589</v>
      </c>
      <c r="BI29" s="19">
        <f t="shared" si="9"/>
        <v>18382032.562488671</v>
      </c>
    </row>
    <row r="30" spans="1:61" x14ac:dyDescent="0.3">
      <c r="A30" s="11" t="s">
        <v>61</v>
      </c>
      <c r="B30" s="20">
        <f>B29+B28</f>
        <v>1989568.3061214569</v>
      </c>
      <c r="C30" s="20">
        <f>C29+C28</f>
        <v>1978993.4578173978</v>
      </c>
      <c r="D30" s="20">
        <f t="shared" ref="D30:BI30" si="10">D29+D28</f>
        <v>1968272.5919993122</v>
      </c>
      <c r="E30" s="20">
        <f t="shared" si="10"/>
        <v>1957402.7883169197</v>
      </c>
      <c r="F30" s="20">
        <f t="shared" si="10"/>
        <v>1946381.0680129342</v>
      </c>
      <c r="G30" s="20">
        <f t="shared" si="10"/>
        <v>1935204.3927549238</v>
      </c>
      <c r="H30" s="20">
        <f t="shared" si="10"/>
        <v>1923869.663443808</v>
      </c>
      <c r="I30" s="20">
        <f t="shared" si="10"/>
        <v>1912373.7189985246</v>
      </c>
      <c r="J30" s="20">
        <f t="shared" si="10"/>
        <v>1900713.3351163904</v>
      </c>
      <c r="K30" s="20">
        <f t="shared" si="10"/>
        <v>1888885.2230086683</v>
      </c>
      <c r="L30" s="20">
        <f t="shared" si="10"/>
        <v>1876886.0281108464</v>
      </c>
      <c r="M30" s="20">
        <f t="shared" si="10"/>
        <v>1864712.3287671229</v>
      </c>
      <c r="N30" s="20">
        <f t="shared" si="10"/>
        <v>7848209.2523884848</v>
      </c>
      <c r="O30" s="20">
        <f t="shared" si="10"/>
        <v>7831448.4980439181</v>
      </c>
      <c r="P30" s="20">
        <f t="shared" si="10"/>
        <v>7814424.9121741038</v>
      </c>
      <c r="Q30" s="20">
        <f t="shared" si="10"/>
        <v>7797133.2381485375</v>
      </c>
      <c r="R30" s="20">
        <f t="shared" si="10"/>
        <v>7779568.1142041031</v>
      </c>
      <c r="S30" s="20">
        <f t="shared" si="10"/>
        <v>7761724.0713424245</v>
      </c>
      <c r="T30" s="20">
        <f t="shared" si="10"/>
        <v>7743595.5311851557</v>
      </c>
      <c r="U30" s="20">
        <f t="shared" si="10"/>
        <v>7725176.8037863858</v>
      </c>
      <c r="V30" s="20">
        <f t="shared" si="10"/>
        <v>7706462.0854012836</v>
      </c>
      <c r="W30" s="20">
        <f t="shared" si="10"/>
        <v>7687445.4562101234</v>
      </c>
      <c r="X30" s="20">
        <f t="shared" si="10"/>
        <v>7668120.8779967837</v>
      </c>
      <c r="Y30" s="20">
        <f t="shared" si="10"/>
        <v>7648482.1917808214</v>
      </c>
      <c r="Z30" s="20">
        <f t="shared" si="10"/>
        <v>7624732.0640955493</v>
      </c>
      <c r="AA30" s="20">
        <f t="shared" si="10"/>
        <v>7600569.6516647907</v>
      </c>
      <c r="AB30" s="20">
        <f t="shared" si="10"/>
        <v>7575986.7087936355</v>
      </c>
      <c r="AC30" s="20">
        <f t="shared" si="10"/>
        <v>7550974.824873277</v>
      </c>
      <c r="AD30" s="20">
        <f t="shared" si="10"/>
        <v>7525525.4210827304</v>
      </c>
      <c r="AE30" s="20">
        <f t="shared" si="10"/>
        <v>7499629.747024592</v>
      </c>
      <c r="AF30" s="20">
        <f t="shared" si="10"/>
        <v>7473278.8772935104</v>
      </c>
      <c r="AG30" s="20">
        <f t="shared" si="10"/>
        <v>7446463.7079760255</v>
      </c>
      <c r="AH30" s="20">
        <f t="shared" si="10"/>
        <v>7419174.9530804101</v>
      </c>
      <c r="AI30" s="20">
        <f t="shared" si="10"/>
        <v>7391403.1408951022</v>
      </c>
      <c r="AJ30" s="20">
        <f t="shared" si="10"/>
        <v>7363138.6102743074</v>
      </c>
      <c r="AK30" s="20">
        <f t="shared" si="10"/>
        <v>7334371.5068493159</v>
      </c>
      <c r="AL30" s="20">
        <f t="shared" si="10"/>
        <v>7301717.794308411</v>
      </c>
      <c r="AM30" s="20">
        <f t="shared" si="10"/>
        <v>7268466.2688865503</v>
      </c>
      <c r="AN30" s="20">
        <f t="shared" si="10"/>
        <v>7234604.974326116</v>
      </c>
      <c r="AO30" s="20">
        <f t="shared" si="10"/>
        <v>7200121.7152443361</v>
      </c>
      <c r="AP30" s="20">
        <f t="shared" si="10"/>
        <v>7165004.0523507828</v>
      </c>
      <c r="AQ30" s="20">
        <f t="shared" si="10"/>
        <v>7129239.2975692218</v>
      </c>
      <c r="AR30" s="20">
        <f t="shared" si="10"/>
        <v>7092814.5090618925</v>
      </c>
      <c r="AS30" s="20">
        <f t="shared" si="10"/>
        <v>7055716.4861542797</v>
      </c>
      <c r="AT30" s="20">
        <f t="shared" si="10"/>
        <v>7017931.7641583774</v>
      </c>
      <c r="AU30" s="20">
        <f t="shared" si="10"/>
        <v>6979446.60909242</v>
      </c>
      <c r="AV30" s="20">
        <f t="shared" si="10"/>
        <v>6940247.0122950068</v>
      </c>
      <c r="AW30" s="20">
        <f t="shared" si="10"/>
        <v>6900318.6849315083</v>
      </c>
      <c r="AX30" s="20">
        <f t="shared" si="10"/>
        <v>18857489.077110875</v>
      </c>
      <c r="AY30" s="20">
        <f t="shared" si="10"/>
        <v>18813852.421900954</v>
      </c>
      <c r="AZ30" s="20">
        <f t="shared" si="10"/>
        <v>18769392.578353956</v>
      </c>
      <c r="BA30" s="20">
        <f t="shared" si="10"/>
        <v>18724093.082703143</v>
      </c>
      <c r="BB30" s="20">
        <f t="shared" si="10"/>
        <v>18677937.141906437</v>
      </c>
      <c r="BC30" s="20">
        <f t="shared" si="10"/>
        <v>18630907.627060916</v>
      </c>
      <c r="BD30" s="20">
        <f t="shared" si="10"/>
        <v>18582987.06668561</v>
      </c>
      <c r="BE30" s="20">
        <f t="shared" si="10"/>
        <v>18534157.639869921</v>
      </c>
      <c r="BF30" s="20">
        <f t="shared" si="10"/>
        <v>18484401.16928504</v>
      </c>
      <c r="BG30" s="20">
        <f t="shared" si="10"/>
        <v>18433699.114055589</v>
      </c>
      <c r="BH30" s="20">
        <f t="shared" si="10"/>
        <v>18382032.562488671</v>
      </c>
      <c r="BI30" s="20">
        <f t="shared" si="10"/>
        <v>18329382.224657539</v>
      </c>
    </row>
    <row r="31" spans="1:61" x14ac:dyDescent="0.3">
      <c r="A31" s="11" t="s">
        <v>91</v>
      </c>
      <c r="B31" s="19">
        <f>-MIN(0,B22+B24+B25+B26)</f>
        <v>10431.693878543065</v>
      </c>
      <c r="C31" s="19">
        <f>-MIN(0,C22+C24+C25+C26)</f>
        <v>10574.848304059149</v>
      </c>
      <c r="D31" s="19">
        <f t="shared" ref="D31:BI31" si="11">-MIN(0,D22+D24+D25+D26)</f>
        <v>10720.865818085524</v>
      </c>
      <c r="E31" s="19">
        <f t="shared" si="11"/>
        <v>10869.803682392445</v>
      </c>
      <c r="F31" s="19">
        <f t="shared" si="11"/>
        <v>11021.72030398549</v>
      </c>
      <c r="G31" s="19">
        <f t="shared" si="11"/>
        <v>11176.675258010404</v>
      </c>
      <c r="H31" s="19">
        <f t="shared" si="11"/>
        <v>11334.729311115818</v>
      </c>
      <c r="I31" s="19">
        <f t="shared" si="11"/>
        <v>11495.944445283338</v>
      </c>
      <c r="J31" s="19">
        <f t="shared" si="11"/>
        <v>11660.383882134218</v>
      </c>
      <c r="K31" s="19">
        <f t="shared" si="11"/>
        <v>11828.112107722114</v>
      </c>
      <c r="L31" s="19">
        <f t="shared" si="11"/>
        <v>11999.194897821766</v>
      </c>
      <c r="M31" s="19">
        <f t="shared" si="11"/>
        <v>12173.699343723401</v>
      </c>
      <c r="N31" s="19">
        <f t="shared" si="11"/>
        <v>16503.076378637794</v>
      </c>
      <c r="O31" s="19">
        <f t="shared" si="11"/>
        <v>16760.75434456674</v>
      </c>
      <c r="P31" s="19">
        <f t="shared" si="11"/>
        <v>17023.585869814226</v>
      </c>
      <c r="Q31" s="19">
        <f t="shared" si="11"/>
        <v>17291.674025566652</v>
      </c>
      <c r="R31" s="19">
        <f t="shared" si="11"/>
        <v>17565.123944434177</v>
      </c>
      <c r="S31" s="19">
        <f t="shared" si="11"/>
        <v>17844.04286167903</v>
      </c>
      <c r="T31" s="19">
        <f t="shared" si="11"/>
        <v>18128.54015726877</v>
      </c>
      <c r="U31" s="19">
        <f t="shared" si="11"/>
        <v>18418.727398770294</v>
      </c>
      <c r="V31" s="19">
        <f t="shared" si="11"/>
        <v>18714.718385101864</v>
      </c>
      <c r="W31" s="19">
        <f t="shared" si="11"/>
        <v>19016.629191160071</v>
      </c>
      <c r="X31" s="19">
        <f t="shared" si="11"/>
        <v>19324.578213339424</v>
      </c>
      <c r="Y31" s="19">
        <f t="shared" si="11"/>
        <v>19638.686215962385</v>
      </c>
      <c r="Z31" s="19">
        <f t="shared" si="11"/>
        <v>23750.127685272546</v>
      </c>
      <c r="AA31" s="19">
        <f t="shared" si="11"/>
        <v>24162.412430758824</v>
      </c>
      <c r="AB31" s="19">
        <f t="shared" si="11"/>
        <v>24582.942871154843</v>
      </c>
      <c r="AC31" s="19">
        <f t="shared" si="11"/>
        <v>25011.883920358701</v>
      </c>
      <c r="AD31" s="19">
        <f t="shared" si="11"/>
        <v>25449.403790546701</v>
      </c>
      <c r="AE31" s="19">
        <f t="shared" si="11"/>
        <v>25895.674058138455</v>
      </c>
      <c r="AF31" s="19">
        <f t="shared" si="11"/>
        <v>26350.86973108209</v>
      </c>
      <c r="AG31" s="19">
        <f t="shared" si="11"/>
        <v>26815.169317484517</v>
      </c>
      <c r="AH31" s="19">
        <f t="shared" si="11"/>
        <v>27288.754895615046</v>
      </c>
      <c r="AI31" s="19">
        <f t="shared" si="11"/>
        <v>27771.812185308201</v>
      </c>
      <c r="AJ31" s="19">
        <f t="shared" si="11"/>
        <v>28264.530620795154</v>
      </c>
      <c r="AK31" s="19">
        <f t="shared" si="11"/>
        <v>28767.103424991892</v>
      </c>
      <c r="AL31" s="19">
        <f t="shared" si="11"/>
        <v>32653.71254090545</v>
      </c>
      <c r="AM31" s="19">
        <f t="shared" si="11"/>
        <v>33251.525421860562</v>
      </c>
      <c r="AN31" s="19">
        <f t="shared" si="11"/>
        <v>33861.294560434697</v>
      </c>
      <c r="AO31" s="19">
        <f t="shared" si="11"/>
        <v>34483.259081780379</v>
      </c>
      <c r="AP31" s="19">
        <f t="shared" si="11"/>
        <v>35117.662893552966</v>
      </c>
      <c r="AQ31" s="19">
        <f t="shared" si="11"/>
        <v>35764.754781561016</v>
      </c>
      <c r="AR31" s="19">
        <f t="shared" si="11"/>
        <v>36424.788507329227</v>
      </c>
      <c r="AS31" s="19">
        <f t="shared" si="11"/>
        <v>37098.022907612831</v>
      </c>
      <c r="AT31" s="19">
        <f t="shared" si="11"/>
        <v>37784.721995902124</v>
      </c>
      <c r="AU31" s="19">
        <f t="shared" si="11"/>
        <v>38485.1550659571</v>
      </c>
      <c r="AV31" s="19">
        <f t="shared" si="11"/>
        <v>39199.596797413244</v>
      </c>
      <c r="AW31" s="19">
        <f t="shared" si="11"/>
        <v>39928.32736349856</v>
      </c>
      <c r="AX31" s="19">
        <f t="shared" si="11"/>
        <v>42829.60782063329</v>
      </c>
      <c r="AY31" s="19">
        <f t="shared" si="11"/>
        <v>43636.65520992277</v>
      </c>
      <c r="AZ31" s="19">
        <f t="shared" si="11"/>
        <v>44459.843546997887</v>
      </c>
      <c r="BA31" s="19">
        <f t="shared" si="11"/>
        <v>45299.49565081457</v>
      </c>
      <c r="BB31" s="19">
        <f t="shared" si="11"/>
        <v>46155.94079670748</v>
      </c>
      <c r="BC31" s="19">
        <f t="shared" si="11"/>
        <v>47029.51484551841</v>
      </c>
      <c r="BD31" s="19">
        <f t="shared" si="11"/>
        <v>47920.560375305431</v>
      </c>
      <c r="BE31" s="19">
        <f t="shared" si="11"/>
        <v>48829.426815688334</v>
      </c>
      <c r="BF31" s="19">
        <f t="shared" si="11"/>
        <v>49756.470584878829</v>
      </c>
      <c r="BG31" s="19">
        <f t="shared" si="11"/>
        <v>50702.055229453093</v>
      </c>
      <c r="BH31" s="19">
        <f t="shared" si="11"/>
        <v>51666.551566918861</v>
      </c>
      <c r="BI31" s="19">
        <f t="shared" si="11"/>
        <v>52650.337831133933</v>
      </c>
    </row>
    <row r="32" spans="1:61" x14ac:dyDescent="0.3">
      <c r="A32" s="11" t="s">
        <v>92</v>
      </c>
      <c r="B32" s="21">
        <f>IF(B31&gt;0,B30/B31,"")</f>
        <v>190.7234174321197</v>
      </c>
      <c r="C32" s="21">
        <f>IF(C31&gt;0,C30/C31,"")</f>
        <v>187.14154576172618</v>
      </c>
      <c r="D32" s="21">
        <f t="shared" ref="D32:BI32" si="12">IF(D31&gt;0,D30/D31,"")</f>
        <v>183.59268975076083</v>
      </c>
      <c r="E32" s="21">
        <f t="shared" si="12"/>
        <v>180.07710585312938</v>
      </c>
      <c r="F32" s="21">
        <f t="shared" si="12"/>
        <v>176.59503365451184</v>
      </c>
      <c r="G32" s="21">
        <f t="shared" si="12"/>
        <v>173.14669596112213</v>
      </c>
      <c r="H32" s="21">
        <f t="shared" si="12"/>
        <v>169.73229890519704</v>
      </c>
      <c r="I32" s="21">
        <f t="shared" si="12"/>
        <v>166.35203206667816</v>
      </c>
      <c r="J32" s="21">
        <f t="shared" si="12"/>
        <v>163.00606861053873</v>
      </c>
      <c r="K32" s="21">
        <f t="shared" si="12"/>
        <v>159.69456543918693</v>
      </c>
      <c r="L32" s="21">
        <f t="shared" si="12"/>
        <v>156.41766335936094</v>
      </c>
      <c r="M32" s="21">
        <f t="shared" si="12"/>
        <v>153.17548726292011</v>
      </c>
      <c r="N32" s="21">
        <f t="shared" si="12"/>
        <v>475.5603787029371</v>
      </c>
      <c r="O32" s="21">
        <f t="shared" si="12"/>
        <v>467.24916653781781</v>
      </c>
      <c r="P32" s="21">
        <f t="shared" si="12"/>
        <v>459.03518635462325</v>
      </c>
      <c r="Q32" s="21">
        <f t="shared" si="12"/>
        <v>450.91835681265241</v>
      </c>
      <c r="R32" s="21">
        <f t="shared" si="12"/>
        <v>442.89856073968656</v>
      </c>
      <c r="S32" s="21">
        <f t="shared" si="12"/>
        <v>434.9756460186</v>
      </c>
      <c r="T32" s="21">
        <f t="shared" si="12"/>
        <v>427.1494264848626</v>
      </c>
      <c r="U32" s="21">
        <f t="shared" si="12"/>
        <v>419.41968283336172</v>
      </c>
      <c r="V32" s="21">
        <f t="shared" si="12"/>
        <v>411.78616353298321</v>
      </c>
      <c r="W32" s="21">
        <f t="shared" si="12"/>
        <v>404.24858574744951</v>
      </c>
      <c r="X32" s="21">
        <f t="shared" si="12"/>
        <v>396.80663626094628</v>
      </c>
      <c r="Y32" s="21">
        <f t="shared" si="12"/>
        <v>389.4599724071212</v>
      </c>
      <c r="Z32" s="21">
        <f t="shared" si="12"/>
        <v>321.03962408689051</v>
      </c>
      <c r="AA32" s="21">
        <f t="shared" si="12"/>
        <v>314.56170502202184</v>
      </c>
      <c r="AB32" s="21">
        <f t="shared" si="12"/>
        <v>308.18062542394603</v>
      </c>
      <c r="AC32" s="21">
        <f t="shared" si="12"/>
        <v>301.89548491895397</v>
      </c>
      <c r="AD32" s="21">
        <f t="shared" si="12"/>
        <v>295.70537223658346</v>
      </c>
      <c r="AE32" s="21">
        <f t="shared" si="12"/>
        <v>289.60936603492735</v>
      </c>
      <c r="AF32" s="21">
        <f t="shared" si="12"/>
        <v>283.6065357068054</v>
      </c>
      <c r="AG32" s="21">
        <f t="shared" si="12"/>
        <v>277.69594216660965</v>
      </c>
      <c r="AH32" s="21">
        <f t="shared" si="12"/>
        <v>271.87663861763724</v>
      </c>
      <c r="AI32" s="21">
        <f t="shared" si="12"/>
        <v>266.14767129979691</v>
      </c>
      <c r="AJ32" s="21">
        <f t="shared" si="12"/>
        <v>260.50808021757848</v>
      </c>
      <c r="AK32" s="21">
        <f t="shared" si="12"/>
        <v>254.95689984822943</v>
      </c>
      <c r="AL32" s="21">
        <f t="shared" si="12"/>
        <v>223.610647186335</v>
      </c>
      <c r="AM32" s="21">
        <f t="shared" si="12"/>
        <v>218.59046093891499</v>
      </c>
      <c r="AN32" s="21">
        <f t="shared" si="12"/>
        <v>213.65411654341787</v>
      </c>
      <c r="AO32" s="21">
        <f t="shared" si="12"/>
        <v>208.80049934284204</v>
      </c>
      <c r="AP32" s="21">
        <f t="shared" si="12"/>
        <v>204.02849910795635</v>
      </c>
      <c r="AQ32" s="21">
        <f t="shared" si="12"/>
        <v>199.33701044819671</v>
      </c>
      <c r="AR32" s="21">
        <f t="shared" si="12"/>
        <v>194.72493320406539</v>
      </c>
      <c r="AS32" s="21">
        <f t="shared" si="12"/>
        <v>190.19117282140624</v>
      </c>
      <c r="AT32" s="21">
        <f t="shared" si="12"/>
        <v>185.73464070794262</v>
      </c>
      <c r="AU32" s="21">
        <f t="shared" si="12"/>
        <v>181.35425457246617</v>
      </c>
      <c r="AV32" s="21">
        <f t="shared" si="12"/>
        <v>177.04893874706869</v>
      </c>
      <c r="AW32" s="21">
        <f t="shared" si="12"/>
        <v>172.81762449282061</v>
      </c>
      <c r="AX32" s="21">
        <f t="shared" si="12"/>
        <v>440.29095844361723</v>
      </c>
      <c r="AY32" s="21">
        <f t="shared" si="12"/>
        <v>431.14790378394474</v>
      </c>
      <c r="AZ32" s="21">
        <f t="shared" si="12"/>
        <v>422.16506134379648</v>
      </c>
      <c r="BA32" s="21">
        <f t="shared" si="12"/>
        <v>413.33999007484425</v>
      </c>
      <c r="BB32" s="21">
        <f t="shared" si="12"/>
        <v>404.67027254785847</v>
      </c>
      <c r="BC32" s="21">
        <f t="shared" si="12"/>
        <v>396.1535152607749</v>
      </c>
      <c r="BD32" s="21">
        <f t="shared" si="12"/>
        <v>387.78734891968941</v>
      </c>
      <c r="BE32" s="21">
        <f t="shared" si="12"/>
        <v>379.56942869366446</v>
      </c>
      <c r="BF32" s="21">
        <f t="shared" si="12"/>
        <v>371.49743444428543</v>
      </c>
      <c r="BG32" s="21">
        <f t="shared" si="12"/>
        <v>363.56907093082401</v>
      </c>
      <c r="BH32" s="21">
        <f t="shared" si="12"/>
        <v>355.78206799190269</v>
      </c>
      <c r="BI32" s="21">
        <f t="shared" si="12"/>
        <v>348.13418070451115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Dashboard</vt:lpstr>
      <vt:lpstr>Assumptions</vt:lpstr>
      <vt:lpstr>Income Statement</vt:lpstr>
      <vt:lpstr>Cash Flow</vt:lpstr>
      <vt:lpstr>Balance Sheet</vt:lpstr>
      <vt:lpstr>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Intervene K-12 Accounting</dc:creator>
  <cp:lastModifiedBy>Intervene K-12 Accounting</cp:lastModifiedBy>
  <dcterms:created xsi:type="dcterms:W3CDTF">2026-06-10T00:26:06Z</dcterms:created>
  <dcterms:modified xsi:type="dcterms:W3CDTF">2026-06-10T03:59:31Z</dcterms:modified>
</cp:coreProperties>
</file>